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46" windowWidth="9570" windowHeight="12825" tabRatio="823" activeTab="0"/>
  </bookViews>
  <sheets>
    <sheet name="1405" sheetId="1" r:id="rId1"/>
    <sheet name="1753" sheetId="2" r:id="rId2"/>
    <sheet name="1840" sheetId="3" r:id="rId3"/>
    <sheet name="1873" sheetId="4" r:id="rId4"/>
    <sheet name="2301" sheetId="5" r:id="rId5"/>
    <sheet name="2317" sheetId="6" r:id="rId6"/>
    <sheet name="2373" sheetId="7" r:id="rId7"/>
    <sheet name="2375" sheetId="8" r:id="rId8"/>
    <sheet name="2420" sheetId="9" r:id="rId9"/>
    <sheet name="2695" sheetId="10" r:id="rId10"/>
    <sheet name="2830" sheetId="11" r:id="rId11"/>
    <sheet name="3038" sheetId="12" r:id="rId12"/>
    <sheet name="3248" sheetId="13" r:id="rId13"/>
    <sheet name="3335" sheetId="14" r:id="rId14"/>
    <sheet name="3384" sheetId="15" r:id="rId15"/>
    <sheet name="3731" sheetId="16" r:id="rId16"/>
    <sheet name="3751" sheetId="17" r:id="rId17"/>
    <sheet name="3829" sheetId="18" r:id="rId18"/>
    <sheet name="3890" sheetId="19" r:id="rId19"/>
    <sheet name="4289" sheetId="20" r:id="rId20"/>
    <sheet name="4355" sheetId="21" r:id="rId21"/>
    <sheet name="4627" sheetId="22" r:id="rId22"/>
    <sheet name="4666" sheetId="23" r:id="rId23"/>
    <sheet name="4707" sheetId="24" r:id="rId24"/>
    <sheet name="4989" sheetId="25" r:id="rId25"/>
    <sheet name="4996" sheetId="26" r:id="rId26"/>
    <sheet name="5218" sheetId="27" r:id="rId27"/>
    <sheet name="5343" sheetId="28" r:id="rId28"/>
    <sheet name="6309" sheetId="29" r:id="rId29"/>
    <sheet name="7265" sheetId="30" r:id="rId30"/>
    <sheet name="7279" sheetId="31" r:id="rId31"/>
    <sheet name="7605" sheetId="32" r:id="rId32"/>
    <sheet name="7640" sheetId="33" r:id="rId33"/>
    <sheet name="7827" sheetId="34" r:id="rId34"/>
    <sheet name="7831" sheetId="35" r:id="rId35"/>
    <sheet name="7856" sheetId="36" r:id="rId36"/>
    <sheet name="7959" sheetId="37" r:id="rId37"/>
    <sheet name="7968" sheetId="38" r:id="rId38"/>
    <sheet name="7983" sheetId="39" r:id="rId39"/>
    <sheet name="8077" sheetId="40" r:id="rId40"/>
    <sheet name="8079" sheetId="41" r:id="rId41"/>
    <sheet name="8917" sheetId="42" r:id="rId42"/>
    <sheet name="9603" sheetId="43" r:id="rId43"/>
    <sheet name="9678" sheetId="44" r:id="rId44"/>
    <sheet name="9824" sheetId="45" r:id="rId45"/>
  </sheets>
  <definedNames/>
  <calcPr fullCalcOnLoad="1"/>
</workbook>
</file>

<file path=xl/sharedStrings.xml><?xml version="1.0" encoding="utf-8"?>
<sst xmlns="http://schemas.openxmlformats.org/spreadsheetml/2006/main" count="4750" uniqueCount="345">
  <si>
    <t>決算</t>
  </si>
  <si>
    <t>10月</t>
  </si>
  <si>
    <t>株価</t>
  </si>
  <si>
    <t>百万円</t>
  </si>
  <si>
    <t>発表</t>
  </si>
  <si>
    <t>販売</t>
  </si>
  <si>
    <t>経常</t>
  </si>
  <si>
    <t>純益</t>
  </si>
  <si>
    <t>株数(百万)</t>
  </si>
  <si>
    <t>株主資本(%)</t>
  </si>
  <si>
    <t>余剰金(百万)</t>
  </si>
  <si>
    <t>負債(百万)</t>
  </si>
  <si>
    <t>設備投資(百万)</t>
  </si>
  <si>
    <t>1株配当(円)</t>
  </si>
  <si>
    <t>０７年</t>
  </si>
  <si>
    <t>期末</t>
  </si>
  <si>
    <t>調査会社</t>
  </si>
  <si>
    <t>自社予想</t>
  </si>
  <si>
    <t>中間</t>
  </si>
  <si>
    <t>０６年</t>
  </si>
  <si>
    <t>3四半</t>
  </si>
  <si>
    <t>1四半</t>
  </si>
  <si>
    <t>０５年</t>
  </si>
  <si>
    <t>05/10</t>
  </si>
  <si>
    <t>総合ポイント</t>
  </si>
  <si>
    <t>設備投資</t>
  </si>
  <si>
    <t>株主比率</t>
  </si>
  <si>
    <t>配当率</t>
  </si>
  <si>
    <t>アークコア</t>
  </si>
  <si>
    <t>０５年</t>
  </si>
  <si>
    <t>０６年</t>
  </si>
  <si>
    <t>０７年</t>
  </si>
  <si>
    <t>期末</t>
  </si>
  <si>
    <t>純益</t>
  </si>
  <si>
    <t>経常</t>
  </si>
  <si>
    <t>販売</t>
  </si>
  <si>
    <t>発表</t>
  </si>
  <si>
    <t>百万円</t>
  </si>
  <si>
    <t>株価</t>
  </si>
  <si>
    <t>05/1</t>
  </si>
  <si>
    <t>05/4</t>
  </si>
  <si>
    <t>05/1</t>
  </si>
  <si>
    <t>05/4</t>
  </si>
  <si>
    <t>05/7</t>
  </si>
  <si>
    <t>05/10</t>
  </si>
  <si>
    <t>05/1</t>
  </si>
  <si>
    <t>05/4</t>
  </si>
  <si>
    <t>売買単位</t>
  </si>
  <si>
    <t>自社修正</t>
  </si>
  <si>
    <t>必要資金(千円)</t>
  </si>
  <si>
    <t>対前年比</t>
  </si>
  <si>
    <t>今期予想</t>
  </si>
  <si>
    <t>来期予想</t>
  </si>
  <si>
    <t>今期修正</t>
  </si>
  <si>
    <t>甘辛予想</t>
  </si>
  <si>
    <t>システムプロ</t>
  </si>
  <si>
    <t>ケア２１</t>
  </si>
  <si>
    <t>ＣＨＩＮＴＡＩ</t>
  </si>
  <si>
    <t>アヲハタ</t>
  </si>
  <si>
    <t>神戸物産</t>
  </si>
  <si>
    <t>エー・ディ・エム</t>
  </si>
  <si>
    <t>エイチ・アイ・エス</t>
  </si>
  <si>
    <t>泉州電業</t>
  </si>
  <si>
    <t>カナモト</t>
  </si>
  <si>
    <t>ファースト住建</t>
  </si>
  <si>
    <t>正栄食品工業</t>
  </si>
  <si>
    <t>小林産業</t>
  </si>
  <si>
    <t>ミロク</t>
  </si>
  <si>
    <t>田崎真珠</t>
  </si>
  <si>
    <t>オリバー</t>
  </si>
  <si>
    <t>萩原工業</t>
  </si>
  <si>
    <t>オービス</t>
  </si>
  <si>
    <t>トップカルチャー</t>
  </si>
  <si>
    <t>エイケン工業</t>
  </si>
  <si>
    <t>巴工業</t>
  </si>
  <si>
    <t>ニッコー</t>
  </si>
  <si>
    <t>オハラ</t>
  </si>
  <si>
    <t>クミアイ化学工業</t>
  </si>
  <si>
    <t>キタック</t>
  </si>
  <si>
    <t>パーク２４</t>
  </si>
  <si>
    <t>ナトコ</t>
  </si>
  <si>
    <t>日本ロングライフ</t>
  </si>
  <si>
    <t>ビジネストラスト</t>
  </si>
  <si>
    <t>ゼネラル</t>
  </si>
  <si>
    <t>ジー・エフ</t>
  </si>
  <si>
    <t>京王ズ</t>
  </si>
  <si>
    <t>学情</t>
  </si>
  <si>
    <t>東日本ハウス</t>
  </si>
  <si>
    <t>土屋ホーム</t>
  </si>
  <si>
    <t>サーラ住宅</t>
  </si>
  <si>
    <t>土屋ツーバイホーム</t>
  </si>
  <si>
    <t>スリープログループ</t>
  </si>
  <si>
    <t>くらコーポレーション</t>
  </si>
  <si>
    <t>イハラケミカル工業</t>
  </si>
  <si>
    <t>ハイレックスコーポレーション</t>
  </si>
  <si>
    <t>フジ・コーポレーション</t>
  </si>
  <si>
    <t>ウイル・コーポレーション</t>
  </si>
  <si>
    <t>中間修正</t>
  </si>
  <si>
    <t>セルシス</t>
  </si>
  <si>
    <t>進捗率からの期末予想</t>
  </si>
  <si>
    <t>1Q実績から</t>
  </si>
  <si>
    <t>中間実績から</t>
  </si>
  <si>
    <t>3Q実績から</t>
  </si>
  <si>
    <t>会社予想/修正</t>
  </si>
  <si>
    <t>進捗率</t>
  </si>
  <si>
    <t>０９年</t>
  </si>
  <si>
    <t>PERポイント</t>
  </si>
  <si>
    <t>余剰－負債</t>
  </si>
  <si>
    <t xml:space="preserve"> </t>
  </si>
  <si>
    <t>アールエイジ</t>
  </si>
  <si>
    <t>時価総額</t>
  </si>
  <si>
    <t>3/3</t>
  </si>
  <si>
    <t>09/10</t>
  </si>
  <si>
    <t>09/7</t>
  </si>
  <si>
    <t>09/4</t>
  </si>
  <si>
    <t>09/1</t>
  </si>
  <si>
    <t>０８年</t>
  </si>
  <si>
    <t>08/10</t>
  </si>
  <si>
    <t>08/7</t>
  </si>
  <si>
    <t>08/4</t>
  </si>
  <si>
    <t>08/1</t>
  </si>
  <si>
    <t>07/10</t>
  </si>
  <si>
    <t>07/7</t>
  </si>
  <si>
    <t>07/4</t>
  </si>
  <si>
    <t>07/1</t>
  </si>
  <si>
    <r>
      <t>06/</t>
    </r>
    <r>
      <rPr>
        <sz val="11"/>
        <rFont val="ＭＳ Ｐゴシック"/>
        <family val="3"/>
      </rPr>
      <t>10</t>
    </r>
  </si>
  <si>
    <r>
      <t>06/</t>
    </r>
    <r>
      <rPr>
        <sz val="11"/>
        <rFont val="ＭＳ Ｐゴシック"/>
        <family val="3"/>
      </rPr>
      <t>7</t>
    </r>
  </si>
  <si>
    <t>06/4</t>
  </si>
  <si>
    <t>06/1</t>
  </si>
  <si>
    <t>05/7</t>
  </si>
  <si>
    <t>05/4</t>
  </si>
  <si>
    <t>05/1</t>
  </si>
  <si>
    <t>07/4</t>
  </si>
  <si>
    <t>07/1</t>
  </si>
  <si>
    <t>06/10</t>
  </si>
  <si>
    <t>06/7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</si>
  <si>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</si>
  <si>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</si>
  <si>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</si>
  <si>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</si>
  <si>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</si>
  <si>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</si>
  <si>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</si>
  <si>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</si>
  <si>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</si>
  <si>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</si>
  <si>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</si>
  <si>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</si>
  <si>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</si>
  <si>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</si>
  <si>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</si>
  <si>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</si>
  <si>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</si>
  <si>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</si>
  <si>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</si>
  <si>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</si>
  <si>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</si>
  <si>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</si>
  <si>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</si>
  <si>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</si>
  <si>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</si>
  <si>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</si>
  <si>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</si>
  <si>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</si>
  <si>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</si>
  <si>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</si>
  <si>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</si>
  <si>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</si>
  <si>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</si>
  <si>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</si>
  <si>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</si>
  <si>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</si>
  <si>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</si>
  <si>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</si>
  <si>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</si>
  <si>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</si>
  <si>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</si>
  <si>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</si>
  <si>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</si>
  <si>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</si>
  <si>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</si>
  <si>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</si>
  <si>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</si>
  <si>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</si>
  <si>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</si>
  <si>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</si>
  <si>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</si>
  <si>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</si>
  <si>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</si>
  <si>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</si>
  <si>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</si>
  <si>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</si>
  <si>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</si>
  <si>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</si>
  <si>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</si>
  <si>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</si>
  <si>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</si>
  <si>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</si>
  <si>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</si>
  <si>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</si>
  <si>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</si>
  <si>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</si>
  <si>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</si>
  <si>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</si>
  <si>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</si>
  <si>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</si>
  <si>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</si>
  <si>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</si>
  <si>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</si>
  <si>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</si>
  <si>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</si>
  <si>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</si>
  <si>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</si>
  <si>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</si>
  <si>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</si>
  <si>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</si>
  <si>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</si>
  <si>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</si>
  <si>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</si>
  <si>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</si>
  <si>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</si>
  <si>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</si>
  <si>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</si>
  <si>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</si>
  <si>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</si>
  <si>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</si>
  <si>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</si>
  <si>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</si>
  <si>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</si>
  <si>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</si>
  <si>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</si>
  <si>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</si>
  <si>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</si>
  <si>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</si>
  <si>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</si>
  <si>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</si>
  <si>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</si>
  <si>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</si>
  <si>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</si>
  <si>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</si>
  <si>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</si>
  <si>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</si>
  <si>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</si>
  <si>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</si>
  <si>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</si>
  <si>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</si>
  <si>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</si>
  <si>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</si>
  <si>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</si>
  <si>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</si>
  <si>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</si>
  <si>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</si>
  <si>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</si>
  <si>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</si>
  <si>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</si>
  <si>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</si>
  <si>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</si>
  <si>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</si>
  <si>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</si>
  <si>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</si>
  <si>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</si>
  <si>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</si>
  <si>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</si>
  <si>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</si>
  <si>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</si>
  <si>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</si>
  <si>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</si>
  <si>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</si>
  <si>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</si>
  <si>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</si>
  <si>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</si>
  <si>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</si>
  <si>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</si>
  <si>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</si>
  <si>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</si>
  <si>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</si>
  <si>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</si>
  <si>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</si>
  <si>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</si>
  <si>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</si>
  <si>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</si>
  <si>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</si>
  <si>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</si>
  <si>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</si>
  <si>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</si>
  <si>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</si>
  <si>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</si>
  <si>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</si>
  <si>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</si>
  <si>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</si>
  <si>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</si>
  <si>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</si>
  <si>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</si>
  <si>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</si>
  <si>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</si>
  <si>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</si>
  <si>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</si>
  <si>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</si>
  <si>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</si>
  <si>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</si>
  <si>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06/4</t>
  </si>
  <si>
    <t>06/1</t>
  </si>
  <si>
    <t>05/4</t>
  </si>
  <si>
    <t>05/1</t>
  </si>
  <si>
    <t>07/4</t>
  </si>
  <si>
    <t>07/1</t>
  </si>
  <si>
    <t>期末</t>
  </si>
  <si>
    <t>06/10</t>
  </si>
  <si>
    <t>06/7</t>
  </si>
  <si>
    <t>06/4</t>
  </si>
  <si>
    <t>06/1</t>
  </si>
  <si>
    <t>０５年</t>
  </si>
  <si>
    <t>期末</t>
  </si>
  <si>
    <t>中間</t>
  </si>
  <si>
    <t>06/10</t>
  </si>
  <si>
    <t>06/7</t>
  </si>
  <si>
    <t>05/10</t>
  </si>
  <si>
    <t>05/7</t>
  </si>
  <si>
    <t>（直近四半期）</t>
  </si>
  <si>
    <t xml:space="preserve"> </t>
  </si>
  <si>
    <t>決算期状況</t>
  </si>
  <si>
    <t xml:space="preserve"> </t>
  </si>
  <si>
    <t xml:space="preserve"> </t>
  </si>
  <si>
    <t xml:space="preserve"> </t>
  </si>
  <si>
    <t>3/13</t>
  </si>
  <si>
    <t>3/17</t>
  </si>
  <si>
    <t>ＰＥＲ</t>
  </si>
  <si>
    <t>08/05/30</t>
  </si>
  <si>
    <t>08/05/30</t>
  </si>
  <si>
    <t>08/05/30</t>
  </si>
  <si>
    <t>08/05/30</t>
  </si>
  <si>
    <t>08/05/30</t>
  </si>
  <si>
    <t>08/05/30</t>
  </si>
  <si>
    <t>6/11</t>
  </si>
  <si>
    <t>6/9</t>
  </si>
  <si>
    <t>6/10</t>
  </si>
  <si>
    <t>6/6</t>
  </si>
  <si>
    <t>6/5</t>
  </si>
  <si>
    <t>6/13</t>
  </si>
  <si>
    <t>6/13</t>
  </si>
  <si>
    <t>6/13</t>
  </si>
  <si>
    <t>6/16</t>
  </si>
  <si>
    <t>6/17</t>
  </si>
  <si>
    <t>6/19</t>
  </si>
  <si>
    <t>6/20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</si>
</sst>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[Red]#,##0"/>
    <numFmt numFmtId="178" formatCode="#,##0.000;[Red]#,##0.000"/>
    <numFmt numFmtId="179" formatCode="#,##0.0;[Red]#,##0.0"/>
    <numFmt numFmtId="180" formatCode="#,##0.00;[Red]#,##0.00"/>
    <numFmt numFmtId="181" formatCode="0.0;[Red]0.0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7" fontId="0" fillId="2" borderId="3" xfId="0" applyNumberForma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/>
    </xf>
    <xf numFmtId="177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82" fontId="9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82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82" fontId="5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182" fontId="11" fillId="3" borderId="4" xfId="0" applyNumberFormat="1" applyFont="1" applyFill="1" applyBorder="1" applyAlignment="1">
      <alignment horizontal="center" vertical="center"/>
    </xf>
    <xf numFmtId="182" fontId="0" fillId="3" borderId="4" xfId="0" applyNumberFormat="1" applyFill="1" applyBorder="1" applyAlignment="1">
      <alignment horizontal="center" vertical="center"/>
    </xf>
    <xf numFmtId="182" fontId="0" fillId="3" borderId="5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/>
    </xf>
    <xf numFmtId="182" fontId="0" fillId="3" borderId="4" xfId="0" applyNumberFormat="1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181" fontId="6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/>
    </xf>
    <xf numFmtId="178" fontId="7" fillId="3" borderId="7" xfId="0" applyNumberFormat="1" applyFont="1" applyFill="1" applyBorder="1" applyAlignment="1">
      <alignment horizontal="center" vertical="center"/>
    </xf>
    <xf numFmtId="179" fontId="7" fillId="3" borderId="4" xfId="0" applyNumberFormat="1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181" fontId="5" fillId="3" borderId="4" xfId="0" applyNumberFormat="1" applyFont="1" applyFill="1" applyBorder="1" applyAlignment="1">
      <alignment horizontal="center" vertical="center"/>
    </xf>
    <xf numFmtId="178" fontId="0" fillId="3" borderId="7" xfId="0" applyNumberFormat="1" applyFill="1" applyBorder="1" applyAlignment="1">
      <alignment horizontal="center" vertical="center"/>
    </xf>
    <xf numFmtId="179" fontId="0" fillId="3" borderId="4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81" fontId="0" fillId="3" borderId="4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right" vertical="center"/>
    </xf>
    <xf numFmtId="179" fontId="0" fillId="3" borderId="4" xfId="0" applyNumberFormat="1" applyFill="1" applyBorder="1" applyAlignment="1">
      <alignment horizontal="right" vertical="center"/>
    </xf>
    <xf numFmtId="181" fontId="0" fillId="3" borderId="4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/>
    </xf>
    <xf numFmtId="181" fontId="0" fillId="3" borderId="4" xfId="0" applyNumberFormat="1" applyFill="1" applyBorder="1" applyAlignment="1">
      <alignment/>
    </xf>
    <xf numFmtId="178" fontId="0" fillId="3" borderId="4" xfId="0" applyNumberFormat="1" applyFill="1" applyBorder="1" applyAlignment="1">
      <alignment/>
    </xf>
    <xf numFmtId="179" fontId="0" fillId="3" borderId="4" xfId="0" applyNumberFormat="1" applyFill="1" applyBorder="1" applyAlignment="1">
      <alignment/>
    </xf>
    <xf numFmtId="177" fontId="4" fillId="3" borderId="4" xfId="0" applyNumberFormat="1" applyFont="1" applyFill="1" applyBorder="1" applyAlignment="1">
      <alignment horizontal="right" vertical="center"/>
    </xf>
    <xf numFmtId="177" fontId="0" fillId="3" borderId="4" xfId="0" applyNumberFormat="1" applyFill="1" applyBorder="1" applyAlignment="1">
      <alignment horizontal="right" vertical="center"/>
    </xf>
    <xf numFmtId="177" fontId="0" fillId="3" borderId="3" xfId="0" applyNumberFormat="1" applyFill="1" applyBorder="1" applyAlignment="1">
      <alignment horizontal="right" vertical="center"/>
    </xf>
    <xf numFmtId="0" fontId="0" fillId="3" borderId="1" xfId="0" applyFon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0" xfId="0" applyBorder="1" applyAlignment="1">
      <alignment/>
    </xf>
    <xf numFmtId="0" fontId="2" fillId="2" borderId="4" xfId="16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7" fontId="4" fillId="3" borderId="5" xfId="0" applyNumberFormat="1" applyFont="1" applyFill="1" applyBorder="1" applyAlignment="1">
      <alignment horizontal="right" vertical="center"/>
    </xf>
    <xf numFmtId="177" fontId="0" fillId="0" borderId="4" xfId="0" applyNumberFormat="1" applyBorder="1" applyAlignment="1">
      <alignment/>
    </xf>
    <xf numFmtId="186" fontId="0" fillId="0" borderId="0" xfId="0" applyNumberFormat="1" applyAlignment="1">
      <alignment/>
    </xf>
    <xf numFmtId="0" fontId="5" fillId="4" borderId="4" xfId="0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49" fontId="0" fillId="3" borderId="4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right" vertical="center"/>
    </xf>
    <xf numFmtId="177" fontId="0" fillId="3" borderId="8" xfId="0" applyNumberFormat="1" applyFill="1" applyBorder="1" applyAlignment="1">
      <alignment horizontal="right" vertical="center"/>
    </xf>
    <xf numFmtId="49" fontId="0" fillId="3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7" fontId="4" fillId="5" borderId="4" xfId="0" applyNumberFormat="1" applyFont="1" applyFill="1" applyBorder="1" applyAlignment="1">
      <alignment horizontal="right" vertical="center"/>
    </xf>
    <xf numFmtId="177" fontId="4" fillId="5" borderId="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X50"/>
  <sheetViews>
    <sheetView tabSelected="1"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1405</v>
      </c>
      <c r="C2" s="99"/>
      <c r="D2" s="99" t="s">
        <v>89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498</v>
      </c>
      <c r="H3" s="15" t="s">
        <v>332</v>
      </c>
      <c r="I3" s="21" t="s">
        <v>8</v>
      </c>
      <c r="J3" s="58">
        <f>17000/3297</f>
        <v>5.156202608431908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32573</v>
      </c>
      <c r="F18" s="87">
        <v>303</v>
      </c>
      <c r="G18" s="86">
        <v>131</v>
      </c>
      <c r="H18" s="15" t="s">
        <v>339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35783</v>
      </c>
      <c r="F19" s="87">
        <v>804</v>
      </c>
      <c r="G19" s="86">
        <v>424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339/65.52</f>
        <v>5.173992673992674</v>
      </c>
      <c r="K20" s="59">
        <v>22.6</v>
      </c>
      <c r="L20" s="41">
        <v>2958</v>
      </c>
      <c r="M20" s="41">
        <v>6000</v>
      </c>
      <c r="N20" s="41">
        <v>393</v>
      </c>
      <c r="O20" s="60">
        <v>25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5.184</v>
      </c>
      <c r="K21" s="59">
        <v>11.9</v>
      </c>
      <c r="L21" s="41">
        <v>2330</v>
      </c>
      <c r="M21" s="41">
        <v>9976</v>
      </c>
      <c r="N21" s="41">
        <v>393</v>
      </c>
      <c r="O21" s="60">
        <v>25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3.884</v>
      </c>
      <c r="K22" s="64">
        <v>14.6</v>
      </c>
      <c r="L22" s="41">
        <v>2658</v>
      </c>
      <c r="M22" s="41">
        <v>8000</v>
      </c>
      <c r="N22" s="41">
        <v>0</v>
      </c>
      <c r="O22" s="64">
        <v>15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16797</v>
      </c>
      <c r="F24" s="87">
        <v>174</v>
      </c>
      <c r="G24" s="86">
        <v>69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15733</v>
      </c>
      <c r="F25" s="83">
        <v>-96</v>
      </c>
      <c r="G25" s="66">
        <v>-170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6495</v>
      </c>
      <c r="F26" s="83">
        <v>-356</v>
      </c>
      <c r="G26" s="66">
        <v>-339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36332</v>
      </c>
      <c r="F27" s="65">
        <v>944</v>
      </c>
      <c r="G27" s="65">
        <v>276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29141.70366047546</v>
      </c>
      <c r="L27" s="41">
        <f>IF(OR(F38&lt;=0,F35&lt;=0,F26&lt;=0),IF(OR(F34&lt;=0,F31&lt;=0),IF(OR(F30&lt;=0,F27&lt;=0),0,F27/F30*F26),(F31/F34+F27/F30)/2*F26),(F35/F38+F31/F34+F27/F30)/3*F26)</f>
        <v>-2545.939393939394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26685</v>
      </c>
      <c r="F28" s="65">
        <v>603</v>
      </c>
      <c r="G28" s="65">
        <v>48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30778.65176741651</v>
      </c>
      <c r="L28" s="41">
        <f>IF(OR(F37&lt;=0,F35&lt;=0,F25&lt;=0),IF(OR(F33&lt;=0,F31&lt;=0),IF(OR(F29&lt;=0,F27&lt;=0),0,F27/F29*F25),(F31/F33+F27/F29)/2*F25),(F35/F37+F31/F33+F27/F29)/3*F25)</f>
        <v>-221.07487530761446</v>
      </c>
      <c r="M28" s="41">
        <f>IF(OR(G37&lt;=0,G35&lt;=0,G25&lt;=0),IF(OR(G33&lt;=0,G31&lt;=0),IF(OR(G29&lt;=0,G27&lt;=0),0,G27/G29*G25),(G31/G33+G27/G29)/2*G25),(G35/G37+G31/G33+G27/G29)/3*G25)</f>
        <v>794.369918699187</v>
      </c>
    </row>
    <row r="29" spans="1:13" ht="13.5" customHeight="1">
      <c r="A29" s="8"/>
      <c r="B29" s="102"/>
      <c r="C29" s="25" t="s">
        <v>18</v>
      </c>
      <c r="D29" s="81" t="s">
        <v>123</v>
      </c>
      <c r="E29" s="65">
        <v>18202</v>
      </c>
      <c r="F29" s="65">
        <v>443</v>
      </c>
      <c r="G29" s="65">
        <v>-24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124</v>
      </c>
      <c r="E30" s="65">
        <v>7945</v>
      </c>
      <c r="F30" s="65">
        <v>132</v>
      </c>
      <c r="G30" s="65">
        <v>-219</v>
      </c>
      <c r="H30" s="15"/>
      <c r="I30" s="105" t="s">
        <v>103</v>
      </c>
      <c r="J30" s="105"/>
      <c r="K30" s="41">
        <f>IF(E18=0,E19,E18)</f>
        <v>32573</v>
      </c>
      <c r="L30" s="41">
        <f>IF(F18=0,F19,F18)</f>
        <v>303</v>
      </c>
      <c r="M30" s="41">
        <f>IF(G18=0,G19,G18)</f>
        <v>131</v>
      </c>
    </row>
    <row r="31" spans="1:8" ht="13.5" customHeight="1">
      <c r="A31" s="9"/>
      <c r="B31" s="101" t="s">
        <v>19</v>
      </c>
      <c r="C31" s="25" t="s">
        <v>15</v>
      </c>
      <c r="D31" s="84" t="s">
        <v>125</v>
      </c>
      <c r="E31" s="65">
        <v>34281</v>
      </c>
      <c r="F31" s="65">
        <v>933</v>
      </c>
      <c r="G31" s="65">
        <v>530</v>
      </c>
      <c r="H31" s="15"/>
    </row>
    <row r="32" spans="1:16" ht="13.5" customHeight="1">
      <c r="A32" s="9"/>
      <c r="B32" s="102"/>
      <c r="C32" s="25" t="s">
        <v>20</v>
      </c>
      <c r="D32" s="84" t="s">
        <v>126</v>
      </c>
      <c r="E32" s="65">
        <v>24392</v>
      </c>
      <c r="F32" s="65">
        <v>466</v>
      </c>
      <c r="G32" s="65">
        <v>312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127</v>
      </c>
      <c r="E33" s="65">
        <v>16939</v>
      </c>
      <c r="F33" s="65">
        <v>377</v>
      </c>
      <c r="G33" s="65">
        <v>246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128</v>
      </c>
      <c r="E34" s="65">
        <v>7790</v>
      </c>
      <c r="F34" s="65">
        <v>-22</v>
      </c>
      <c r="G34" s="65">
        <v>-95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39114</v>
      </c>
      <c r="F35" s="65">
        <v>1003</v>
      </c>
      <c r="G35" s="65">
        <v>540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28415</v>
      </c>
      <c r="F36" s="65">
        <v>498</v>
      </c>
      <c r="G36" s="65">
        <v>190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130</v>
      </c>
      <c r="E37" s="65">
        <v>21153</v>
      </c>
      <c r="F37" s="65">
        <v>534</v>
      </c>
      <c r="G37" s="65">
        <v>243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131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-59.91202481581796</v>
      </c>
      <c r="C41" s="39">
        <f>IF(B43&lt;=0,-100,IF((30-B43)*5&lt;-100,-100,(30-B43)*5))</f>
        <v>51.65464306685679</v>
      </c>
      <c r="D41" s="39">
        <f>IF(D42+D43+D44&lt;-20,-20,IF((D42+D43+D44)&gt;20,20,D42+D43+D44))</f>
        <v>-20</v>
      </c>
      <c r="E41" s="39">
        <f>IF(E42+E43+E44&lt;-100,-100,IF(E42+E43+E44&gt;50,50,E42+E43+E44))</f>
        <v>-65.39251274775845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0.028136316477733445</v>
      </c>
      <c r="L41" s="39">
        <f>IF(N20/E27*100&gt;30,30,N20/E27*100)</f>
        <v>1.0816910712319718</v>
      </c>
      <c r="M41" s="39">
        <f>IF((L20-M20)*50/E27&lt;-50,-50,IF((L20-M20)*50/E27&gt;30,30,(L20-M20)*50/E27))</f>
        <v>-4.186392161180227</v>
      </c>
      <c r="N41" s="39">
        <f>(K20-50)/2</f>
        <v>-13.7</v>
      </c>
      <c r="O41" s="39">
        <f>IF(O20=0,-30,((O20/G3)*100-1)*30)</f>
        <v>120.60240963855422</v>
      </c>
      <c r="P41" s="76">
        <f>G3*G4/1000</f>
        <v>49.8</v>
      </c>
    </row>
    <row r="42" spans="2:14" ht="13.5" customHeight="1">
      <c r="B42" s="29" t="s">
        <v>326</v>
      </c>
      <c r="C42" s="12"/>
      <c r="D42" s="39">
        <f>IF(OR(E26=0,E30=0),0,(E26-E30)/E30*100)</f>
        <v>-18.250471994965388</v>
      </c>
      <c r="E42" s="39">
        <f>IF(E18=0,(E19-E27)/E27*50,(E18-E27)/E27*50)</f>
        <v>-5.173125619288781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-8.970740295671128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19.66907138662864</v>
      </c>
      <c r="C43" s="12"/>
      <c r="D43" s="39">
        <f>IF(OR(F26=0,F30=0),0,IF(F30&lt;0,(F26-F30)/(-F30)*50,(F26-F30)/(F30)*50))</f>
        <v>-184.84848484848484</v>
      </c>
      <c r="E43" s="39">
        <f>IF(F18=0,(F19-F27)/F27*50,(F18-F27)/F27*50)</f>
        <v>-33.95127118644068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-62.31343283582089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-54.794520547945204</v>
      </c>
      <c r="E44" s="39">
        <f>IF(G18=0,(G19-G27)/G27*50,(G18-G27)/G27*50)</f>
        <v>-26.268115942028984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-69.10377358490565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2695</v>
      </c>
      <c r="C2" s="99"/>
      <c r="D2" s="99" t="s">
        <v>92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271000</v>
      </c>
      <c r="H3" s="15" t="s">
        <v>332</v>
      </c>
      <c r="I3" s="21" t="s">
        <v>8</v>
      </c>
      <c r="J3" s="58">
        <f>88800/858415</f>
        <v>0.103446468200113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56800</v>
      </c>
      <c r="F19" s="87">
        <v>3500</v>
      </c>
      <c r="G19" s="86">
        <v>1880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82/800</f>
        <v>0.1025</v>
      </c>
      <c r="K20" s="59">
        <v>67.6</v>
      </c>
      <c r="L20" s="41">
        <v>5401</v>
      </c>
      <c r="M20" s="41">
        <v>541</v>
      </c>
      <c r="N20" s="41">
        <v>3843</v>
      </c>
      <c r="O20" s="60">
        <v>360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0.1033</v>
      </c>
      <c r="K21" s="59">
        <v>67.2</v>
      </c>
      <c r="L21" s="41">
        <v>3662</v>
      </c>
      <c r="M21" s="41">
        <v>660</v>
      </c>
      <c r="N21" s="41">
        <v>2223</v>
      </c>
      <c r="O21" s="60">
        <v>360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0.05145</v>
      </c>
      <c r="K22" s="64">
        <v>66.1</v>
      </c>
      <c r="L22" s="41">
        <v>4217</v>
      </c>
      <c r="M22" s="41">
        <v>536</v>
      </c>
      <c r="N22" s="41">
        <v>3597</v>
      </c>
      <c r="O22" s="64">
        <v>725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26730</v>
      </c>
      <c r="F24" s="87">
        <v>1610</v>
      </c>
      <c r="G24" s="86">
        <v>870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27447</v>
      </c>
      <c r="F25" s="83">
        <v>1606</v>
      </c>
      <c r="G25" s="66">
        <v>888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13627</v>
      </c>
      <c r="F26" s="83">
        <v>645</v>
      </c>
      <c r="G26" s="66">
        <v>359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48472</v>
      </c>
      <c r="F27" s="65">
        <v>2989</v>
      </c>
      <c r="G27" s="65">
        <v>1562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58499.73293457113</v>
      </c>
      <c r="L27" s="41">
        <f>IF(OR(F38&lt;=0,F35&lt;=0,F26&lt;=0),IF(OR(F34&lt;=0,F31&lt;=0),IF(OR(F30&lt;=0,F27&lt;=0),0,F27/F30*F26),(F31/F34+F27/F30)/2*F26),(F35/F38+F31/F34+F27/F30)/3*F26)</f>
        <v>2873.1937249502016</v>
      </c>
      <c r="M27" s="41">
        <f>IF(OR(G38&lt;=0,G35&lt;=0,G26&lt;=0),IF(OR(G34&lt;=0,G31&lt;=0),IF(OR(G30&lt;=0,G27&lt;=0),0,G27/G30*G26),(G31/G34+G27/G30)/2*G26),(G35/G38+G31/G34+G27/G30)/3*G26)</f>
        <v>1574.6127027797627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35332</v>
      </c>
      <c r="F28" s="65">
        <v>2139</v>
      </c>
      <c r="G28" s="65">
        <v>1087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58451.09845148159</v>
      </c>
      <c r="L28" s="41">
        <f>IF(OR(F37&lt;=0,F35&lt;=0,F25&lt;=0),IF(OR(F33&lt;=0,F31&lt;=0),IF(OR(F29&lt;=0,F27&lt;=0),0,F27/F29*F25),(F31/F33+F27/F29)/2*F25),(F35/F37+F31/F33+F27/F29)/3*F25)</f>
        <v>3311.4066027361982</v>
      </c>
      <c r="M28" s="41">
        <f>IF(OR(G37&lt;=0,G35&lt;=0,G25&lt;=0),IF(OR(G33&lt;=0,G31&lt;=0),IF(OR(G29&lt;=0,G27&lt;=0),0,G27/G29*G25),(G31/G33+G27/G29)/2*G25),(G35/G37+G31/G33+G27/G29)/3*G25)</f>
        <v>1832.21991385981</v>
      </c>
    </row>
    <row r="29" spans="1:13" ht="13.5" customHeight="1">
      <c r="A29" s="8"/>
      <c r="B29" s="102"/>
      <c r="C29" s="25" t="s">
        <v>18</v>
      </c>
      <c r="D29" s="81" t="s">
        <v>270</v>
      </c>
      <c r="E29" s="65">
        <v>23281</v>
      </c>
      <c r="F29" s="65">
        <v>1429</v>
      </c>
      <c r="G29" s="65">
        <v>717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271</v>
      </c>
      <c r="E30" s="65">
        <v>11529</v>
      </c>
      <c r="F30" s="65">
        <v>642</v>
      </c>
      <c r="G30" s="65">
        <v>321</v>
      </c>
      <c r="H30" s="15"/>
      <c r="I30" s="105" t="s">
        <v>103</v>
      </c>
      <c r="J30" s="105"/>
      <c r="K30" s="41">
        <f>IF(E18=0,E19,E18)</f>
        <v>56800</v>
      </c>
      <c r="L30" s="41">
        <f>IF(F18=0,F19,F18)</f>
        <v>3500</v>
      </c>
      <c r="M30" s="41">
        <f>IF(G18=0,G19,G18)</f>
        <v>1880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40854</v>
      </c>
      <c r="F31" s="65">
        <v>2514</v>
      </c>
      <c r="G31" s="65">
        <v>1232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29718</v>
      </c>
      <c r="F32" s="65">
        <v>1865</v>
      </c>
      <c r="G32" s="65">
        <v>913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272</v>
      </c>
      <c r="E33" s="65">
        <v>19132</v>
      </c>
      <c r="F33" s="65">
        <v>1237</v>
      </c>
      <c r="G33" s="65">
        <v>617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273</v>
      </c>
      <c r="E34" s="65">
        <v>9450</v>
      </c>
      <c r="F34" s="65">
        <v>564</v>
      </c>
      <c r="G34" s="65">
        <v>289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34475</v>
      </c>
      <c r="F35" s="65">
        <v>2206</v>
      </c>
      <c r="G35" s="65">
        <v>1100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24733</v>
      </c>
      <c r="F36" s="65">
        <v>1723</v>
      </c>
      <c r="G36" s="65">
        <v>866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274</v>
      </c>
      <c r="E37" s="65">
        <v>15877</v>
      </c>
      <c r="F37" s="65">
        <v>1070</v>
      </c>
      <c r="G37" s="65">
        <v>546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275</v>
      </c>
      <c r="E38" s="65">
        <v>7923</v>
      </c>
      <c r="F38" s="65">
        <v>519</v>
      </c>
      <c r="G38" s="65">
        <v>273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105.6517875808291</v>
      </c>
      <c r="C41" s="39">
        <f>IF(B43&lt;=0,-100,IF((30-B43)*5&lt;-100,-100,(30-B43)*5))</f>
        <v>76.12367021276596</v>
      </c>
      <c r="D41" s="39">
        <f>IF(D42+D43+D44&lt;-20,-20,IF((D42+D43+D44)&gt;20,20,D42+D43+D44))</f>
        <v>20</v>
      </c>
      <c r="E41" s="39">
        <f>IF(E42+E43+E44&lt;-100,-100,IF(E42+E43+E44&gt;50,50,E42+E43+E44))</f>
        <v>27.317793219557174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-17.908750715708525</v>
      </c>
      <c r="J41" s="39">
        <f>IF(J42+J43+J44&gt;20,20,IF(J42+J43+J44&lt;-50,-50,J42+J43+J44))</f>
        <v>0</v>
      </c>
      <c r="K41" s="39">
        <f>POWER(LOG(J3*G3/1000),4)</f>
        <v>4.392343016437201</v>
      </c>
      <c r="L41" s="39">
        <f>IF(N20/E27*100&gt;30,30,N20/E27*100)</f>
        <v>7.928288496451559</v>
      </c>
      <c r="M41" s="39">
        <f>IF((L20-M20)*50/E27&lt;-50,-50,IF((L20-M20)*50/E27&gt;30,30,(L20-M20)*50/E27))</f>
        <v>5.013203498927216</v>
      </c>
      <c r="N41" s="39">
        <f>(K20-50)/2</f>
        <v>8.799999999999997</v>
      </c>
      <c r="O41" s="39">
        <f>IF(O20=0,-30,((O20/G3)*100-1)*30)</f>
        <v>-26.01476014760148</v>
      </c>
      <c r="P41" s="76">
        <f>G3*G4/1000</f>
        <v>271</v>
      </c>
    </row>
    <row r="42" spans="2:14" ht="13.5" customHeight="1">
      <c r="B42" s="29" t="s">
        <v>326</v>
      </c>
      <c r="C42" s="12"/>
      <c r="D42" s="39">
        <f>IF(OR(E26=0,E30=0),0,(E26-E30)/E30*100)</f>
        <v>18.19758868939197</v>
      </c>
      <c r="E42" s="39">
        <f>IF(E18=0,(E19-E27)/E27*50,(E18-E27)/E27*50)</f>
        <v>8.590526489519723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14.775265957446809</v>
      </c>
      <c r="C43" s="12"/>
      <c r="D43" s="39">
        <f>IF(OR(F26=0,F30=0),0,IF(F30&lt;0,(F26-F30)/(-F30)*50,(F26-F30)/(F30)*50))</f>
        <v>0.23364485981308408</v>
      </c>
      <c r="E43" s="39">
        <f>IF(F18=0,(F19-F27)/F27*50,(F18-F27)/F27*50)</f>
        <v>8.548009367681498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11.838006230529595</v>
      </c>
      <c r="E44" s="39">
        <f>IF(G18=0,(G19-G27)/G27*50,(G18-G27)/G27*50)</f>
        <v>10.179257362355953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2830</v>
      </c>
      <c r="C2" s="99"/>
      <c r="D2" s="99" t="s">
        <v>58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1490</v>
      </c>
      <c r="H3" s="15" t="s">
        <v>332</v>
      </c>
      <c r="I3" s="21" t="s">
        <v>8</v>
      </c>
      <c r="J3" s="58">
        <f>37300/5417</f>
        <v>6.885730108916374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20300</v>
      </c>
      <c r="F19" s="87">
        <v>900</v>
      </c>
      <c r="G19" s="86">
        <v>500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111/16.22</f>
        <v>6.843403205918619</v>
      </c>
      <c r="K20" s="59">
        <v>57.5</v>
      </c>
      <c r="L20" s="41">
        <v>5314</v>
      </c>
      <c r="M20" s="41">
        <v>1246</v>
      </c>
      <c r="N20" s="41">
        <v>720</v>
      </c>
      <c r="O20" s="60">
        <v>13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6.8902</v>
      </c>
      <c r="K21" s="59">
        <v>54.1</v>
      </c>
      <c r="L21" s="41">
        <v>4807</v>
      </c>
      <c r="M21" s="41">
        <v>1109</v>
      </c>
      <c r="N21" s="41">
        <v>837</v>
      </c>
      <c r="O21" s="60">
        <v>13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6.890463</v>
      </c>
      <c r="K22" s="64">
        <v>58.3</v>
      </c>
      <c r="L22" s="41">
        <v>4964</v>
      </c>
      <c r="M22" s="41">
        <v>564</v>
      </c>
      <c r="N22" s="41">
        <v>307</v>
      </c>
      <c r="O22" s="64">
        <v>13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10350</v>
      </c>
      <c r="F24" s="87">
        <v>430</v>
      </c>
      <c r="G24" s="86">
        <v>240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10391</v>
      </c>
      <c r="F25" s="83">
        <v>643</v>
      </c>
      <c r="G25" s="66">
        <v>373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4757</v>
      </c>
      <c r="F26" s="83">
        <v>208</v>
      </c>
      <c r="G26" s="66">
        <v>111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19866</v>
      </c>
      <c r="F27" s="65">
        <v>887</v>
      </c>
      <c r="G27" s="65">
        <v>492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21096.980134535017</v>
      </c>
      <c r="L27" s="41">
        <f>IF(OR(F38&lt;=0,F35&lt;=0,F26&lt;=0),IF(OR(F34&lt;=0,F31&lt;=0),IF(OR(F30&lt;=0,F27&lt;=0),0,F27/F30*F26),(F31/F34+F27/F30)/2*F26),(F35/F38+F31/F34+F27/F30)/3*F26)</f>
        <v>1493.7156369783643</v>
      </c>
      <c r="M27" s="41">
        <f>IF(OR(G38&lt;=0,G35&lt;=0,G26&lt;=0),IF(OR(G34&lt;=0,G31&lt;=0),IF(OR(G30&lt;=0,G27&lt;=0),0,G27/G30*G26),(G31/G34+G27/G30)/2*G26),(G35/G38+G31/G34+G27/G30)/3*G26)</f>
        <v>917.6896233786529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14997</v>
      </c>
      <c r="F28" s="65">
        <v>810</v>
      </c>
      <c r="G28" s="65">
        <v>461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20816.867855860408</v>
      </c>
      <c r="L28" s="41">
        <f>IF(OR(F37&lt;=0,F35&lt;=0,F25&lt;=0),IF(OR(F33&lt;=0,F31&lt;=0),IF(OR(F29&lt;=0,F27&lt;=0),0,F27/F29*F25),(F31/F33+F27/F29)/2*F25),(F35/F37+F31/F33+F27/F29)/3*F25)</f>
        <v>1165.8149567939035</v>
      </c>
      <c r="M28" s="41">
        <f>IF(OR(G37&lt;=0,G35&lt;=0,G25&lt;=0),IF(OR(G33&lt;=0,G31&lt;=0),IF(OR(G29&lt;=0,G27&lt;=0),0,G27/G29*G25),(G31/G33+G27/G29)/2*G25),(G35/G37+G31/G33+G27/G29)/3*G25)</f>
        <v>662.1190082818324</v>
      </c>
    </row>
    <row r="29" spans="1:13" ht="13.5" customHeight="1">
      <c r="A29" s="8"/>
      <c r="B29" s="102"/>
      <c r="C29" s="25" t="s">
        <v>18</v>
      </c>
      <c r="D29" s="81" t="s">
        <v>264</v>
      </c>
      <c r="E29" s="65">
        <v>9783</v>
      </c>
      <c r="F29" s="65">
        <v>426</v>
      </c>
      <c r="G29" s="65">
        <v>239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265</v>
      </c>
      <c r="E30" s="65">
        <v>4446</v>
      </c>
      <c r="F30" s="65">
        <v>93</v>
      </c>
      <c r="G30" s="65">
        <v>40</v>
      </c>
      <c r="H30" s="15"/>
      <c r="I30" s="105" t="s">
        <v>103</v>
      </c>
      <c r="J30" s="105"/>
      <c r="K30" s="41">
        <f>IF(E18=0,E19,E18)</f>
        <v>20300</v>
      </c>
      <c r="L30" s="41">
        <f>IF(F18=0,F19,F18)</f>
        <v>900</v>
      </c>
      <c r="M30" s="41">
        <f>IF(G18=0,G19,G18)</f>
        <v>500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20149</v>
      </c>
      <c r="F31" s="65">
        <v>868</v>
      </c>
      <c r="G31" s="65">
        <v>462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15148</v>
      </c>
      <c r="F32" s="65">
        <v>777</v>
      </c>
      <c r="G32" s="65">
        <v>421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266</v>
      </c>
      <c r="E33" s="65">
        <v>9925</v>
      </c>
      <c r="F33" s="65">
        <v>483</v>
      </c>
      <c r="G33" s="65">
        <v>274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267</v>
      </c>
      <c r="E34" s="65">
        <v>4521</v>
      </c>
      <c r="F34" s="65">
        <v>145</v>
      </c>
      <c r="G34" s="65">
        <v>79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19906</v>
      </c>
      <c r="F35" s="65">
        <v>897</v>
      </c>
      <c r="G35" s="65">
        <v>539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15102</v>
      </c>
      <c r="F36" s="65">
        <v>818</v>
      </c>
      <c r="G36" s="65">
        <v>490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268</v>
      </c>
      <c r="E37" s="65">
        <v>10212</v>
      </c>
      <c r="F37" s="65">
        <v>575</v>
      </c>
      <c r="G37" s="65">
        <v>341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269</v>
      </c>
      <c r="E38" s="65">
        <v>4545</v>
      </c>
      <c r="F38" s="65">
        <v>149</v>
      </c>
      <c r="G38" s="65">
        <v>81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115.50409875701496</v>
      </c>
      <c r="C41" s="39">
        <f>IF(B43&lt;=0,-100,IF((30-B43)*5&lt;-100,-100,(30-B43)*5))</f>
        <v>48.03329223181258</v>
      </c>
      <c r="D41" s="39">
        <f>IF(D42+D43+D44&lt;-20,-20,IF((D42+D43+D44)&gt;20,20,D42+D43+D44))</f>
        <v>20</v>
      </c>
      <c r="E41" s="39">
        <f>IF(E42+E43+E44&lt;-100,-100,IF(E42+E43+E44&gt;50,50,E42+E43+E44))</f>
        <v>2.638133879592882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1.045294696572411</v>
      </c>
      <c r="L41" s="39">
        <f>IF(N20/E27*100&gt;30,30,N20/E27*100)</f>
        <v>3.6242826940501356</v>
      </c>
      <c r="M41" s="39">
        <f>IF((L20-M20)*50/E27&lt;-50,-50,IF((L20-M20)*50/E27&gt;30,30,(L20-M20)*50/E27))</f>
        <v>10.238598610691634</v>
      </c>
      <c r="N41" s="39">
        <f>(K20-50)/2</f>
        <v>3.75</v>
      </c>
      <c r="O41" s="39">
        <f>IF(O20=0,-30,((O20/G3)*100-1)*30)</f>
        <v>-3.825503355704699</v>
      </c>
      <c r="P41" s="76">
        <f>G3*G4/1000</f>
        <v>1490</v>
      </c>
    </row>
    <row r="42" spans="2:14" ht="13.5" customHeight="1">
      <c r="B42" s="29" t="s">
        <v>326</v>
      </c>
      <c r="C42" s="12"/>
      <c r="D42" s="39">
        <f>IF(OR(E26=0,E30=0),0,(E26-E30)/E30*100)</f>
        <v>6.995051731893836</v>
      </c>
      <c r="E42" s="39">
        <f>IF(E18=0,(E19-E27)/E27*50,(E18-E27)/E27*50)</f>
        <v>1.0923185341789992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20.393341553637484</v>
      </c>
      <c r="C43" s="12"/>
      <c r="D43" s="39">
        <f>IF(OR(F26=0,F30=0),0,IF(F30&lt;0,(F26-F30)/(-F30)*50,(F26-F30)/(F30)*50))</f>
        <v>61.82795698924731</v>
      </c>
      <c r="E43" s="39">
        <f>IF(F18=0,(F19-F27)/F27*50,(F18-F27)/F27*50)</f>
        <v>0.7328072153325818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177.5</v>
      </c>
      <c r="E44" s="39">
        <f>IF(G18=0,(G19-G27)/G27*50,(G18-G27)/G27*50)</f>
        <v>0.8130081300813009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3038</v>
      </c>
      <c r="C2" s="99"/>
      <c r="D2" s="99" t="s">
        <v>59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1020</v>
      </c>
      <c r="H3" s="15" t="s">
        <v>332</v>
      </c>
      <c r="I3" s="21" t="s">
        <v>8</v>
      </c>
      <c r="J3" s="58">
        <f>9200/1144</f>
        <v>8.041958041958042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104250</v>
      </c>
      <c r="F18" s="87">
        <v>500</v>
      </c>
      <c r="G18" s="86">
        <v>300</v>
      </c>
      <c r="H18" s="15" t="s">
        <v>338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115000</v>
      </c>
      <c r="F19" s="87">
        <v>2050</v>
      </c>
      <c r="G19" s="86">
        <v>1285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8.8</v>
      </c>
      <c r="K20" s="59">
        <v>53.1</v>
      </c>
      <c r="L20" s="41">
        <v>4005</v>
      </c>
      <c r="M20" s="41">
        <v>0</v>
      </c>
      <c r="N20" s="41">
        <v>4000</v>
      </c>
      <c r="O20" s="60">
        <v>30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8.36</v>
      </c>
      <c r="K21" s="59"/>
      <c r="L21" s="41"/>
      <c r="M21" s="41"/>
      <c r="N21" s="41">
        <v>1500</v>
      </c>
      <c r="O21" s="60">
        <v>30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8.8</v>
      </c>
      <c r="K22" s="64"/>
      <c r="L22" s="41"/>
      <c r="M22" s="41"/>
      <c r="N22" s="41"/>
      <c r="O22" s="64"/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54050</v>
      </c>
      <c r="F24" s="87">
        <v>963</v>
      </c>
      <c r="G24" s="86">
        <v>603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47747</v>
      </c>
      <c r="F25" s="83">
        <v>118</v>
      </c>
      <c r="G25" s="66">
        <v>92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24301</v>
      </c>
      <c r="F26" s="83">
        <v>-97</v>
      </c>
      <c r="G26" s="66">
        <v>-121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95173</v>
      </c>
      <c r="F27" s="65">
        <v>1597</v>
      </c>
      <c r="G27" s="65">
        <v>970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98573.76610910999</v>
      </c>
      <c r="L27" s="41">
        <f>IF(OR(F38&lt;=0,F35&lt;=0,F26&lt;=0),IF(OR(F34&lt;=0,F31&lt;=0),IF(OR(F30&lt;=0,F27&lt;=0),0,F27/F30*F26),(F31/F34+F27/F30)/2*F26),(F35/F38+F31/F34+F27/F30)/3*F26)</f>
        <v>-331.4864175697222</v>
      </c>
      <c r="M27" s="41">
        <f>IF(OR(G38&lt;=0,G35&lt;=0,G26&lt;=0),IF(OR(G34&lt;=0,G31&lt;=0),IF(OR(G30&lt;=0,G27&lt;=0),0,G27/G30*G26),(G31/G34+G27/G30)/2*G26),(G35/G38+G31/G34+G27/G30)/3*G26)</f>
        <v>-410.210064544247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72202</v>
      </c>
      <c r="F28" s="65">
        <v>1282</v>
      </c>
      <c r="G28" s="65">
        <v>775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96713.6438995423</v>
      </c>
      <c r="L28" s="41">
        <f>IF(OR(F37&lt;=0,F35&lt;=0,F25&lt;=0),IF(OR(F33&lt;=0,F31&lt;=0),IF(OR(F29&lt;=0,F27&lt;=0),0,F27/F29*F25),(F31/F33+F27/F29)/2*F25),(F35/F37+F31/F33+F27/F29)/3*F25)</f>
        <v>223.1482112954417</v>
      </c>
      <c r="M28" s="41">
        <f>IF(OR(G37&lt;=0,G35&lt;=0,G25&lt;=0),IF(OR(G33&lt;=0,G31&lt;=0),IF(OR(G29&lt;=0,G27&lt;=0),0,G27/G29*G25),(G31/G33+G27/G29)/2*G25),(G35/G37+G31/G33+G27/G29)/3*G25)</f>
        <v>172.47781232559993</v>
      </c>
    </row>
    <row r="29" spans="1:13" ht="13.5" customHeight="1">
      <c r="A29" s="8"/>
      <c r="B29" s="102"/>
      <c r="C29" s="25" t="s">
        <v>18</v>
      </c>
      <c r="D29" s="81" t="s">
        <v>258</v>
      </c>
      <c r="E29" s="65">
        <v>48109</v>
      </c>
      <c r="F29" s="65">
        <v>912</v>
      </c>
      <c r="G29" s="65">
        <v>555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259</v>
      </c>
      <c r="E30" s="65">
        <v>24031</v>
      </c>
      <c r="F30" s="65">
        <v>519</v>
      </c>
      <c r="G30" s="65">
        <v>317</v>
      </c>
      <c r="H30" s="15"/>
      <c r="I30" s="105" t="s">
        <v>103</v>
      </c>
      <c r="J30" s="105"/>
      <c r="K30" s="41">
        <f>IF(E18=0,E19,E18)</f>
        <v>104250</v>
      </c>
      <c r="L30" s="41">
        <f>IF(F18=0,F19,F18)</f>
        <v>500</v>
      </c>
      <c r="M30" s="41">
        <f>IF(G18=0,G19,G18)</f>
        <v>300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90076</v>
      </c>
      <c r="F31" s="65">
        <v>1830</v>
      </c>
      <c r="G31" s="65">
        <v>1131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66224</v>
      </c>
      <c r="F32" s="65">
        <v>1289</v>
      </c>
      <c r="G32" s="65">
        <v>804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260</v>
      </c>
      <c r="E33" s="65">
        <v>43456</v>
      </c>
      <c r="F33" s="65">
        <v>901</v>
      </c>
      <c r="G33" s="65">
        <v>565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261</v>
      </c>
      <c r="E34" s="65">
        <v>21693</v>
      </c>
      <c r="F34" s="65">
        <v>487</v>
      </c>
      <c r="G34" s="65">
        <v>304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76494</v>
      </c>
      <c r="F35" s="65">
        <v>1934</v>
      </c>
      <c r="G35" s="65">
        <v>1198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/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262</v>
      </c>
      <c r="E37" s="65"/>
      <c r="F37" s="65"/>
      <c r="G37" s="65"/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263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-146.9230459136063</v>
      </c>
      <c r="C41" s="39">
        <f>IF(B43&lt;=0,-100,IF((30-B43)*5&lt;-100,-100,(30-B43)*5))</f>
        <v>0.3999999999999915</v>
      </c>
      <c r="D41" s="39">
        <f>IF(D42+D43+D44&lt;-20,-20,IF((D42+D43+D44)&gt;20,20,D42+D43+D44))</f>
        <v>-20</v>
      </c>
      <c r="E41" s="39">
        <f>IF(E42+E43+E44&lt;-100,-100,IF(E42+E43+E44&gt;50,50,E42+E43+E44))</f>
        <v>-64.11304616861135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0.6977703467451025</v>
      </c>
      <c r="L41" s="39">
        <f>IF(N20/E27*100&gt;30,30,N20/E27*100)</f>
        <v>4.202872663465479</v>
      </c>
      <c r="M41" s="39">
        <f>IF((L20-M20)*50/E27&lt;-50,-50,IF((L20-M20)*50/E27&gt;30,30,(L20-M20)*50/E27))</f>
        <v>2.104063127147405</v>
      </c>
      <c r="N41" s="39">
        <f>(K20-50)/2</f>
        <v>1.5500000000000007</v>
      </c>
      <c r="O41" s="39">
        <f>IF(O20=0,-30,((O20/G3)*100-1)*30)</f>
        <v>58.23529411764705</v>
      </c>
      <c r="P41" s="76">
        <f>G3*G4/1000</f>
        <v>1020</v>
      </c>
    </row>
    <row r="42" spans="2:14" ht="13.5" customHeight="1">
      <c r="B42" s="29" t="s">
        <v>326</v>
      </c>
      <c r="C42" s="12"/>
      <c r="D42" s="39">
        <f>IF(OR(E26=0,E30=0),0,(E26-E30)/E30*100)</f>
        <v>1.1235487495318548</v>
      </c>
      <c r="E42" s="39">
        <f>IF(E18=0,(E19-E27)/E27*50,(E18-E27)/E27*50)</f>
        <v>4.768684395784518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-9.347826086956522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29.92</v>
      </c>
      <c r="C43" s="12"/>
      <c r="D43" s="39">
        <f>IF(OR(F26=0,F30=0),0,IF(F30&lt;0,(F26-F30)/(-F30)*50,(F26-F30)/(F30)*50))</f>
        <v>-59.34489402697495</v>
      </c>
      <c r="E43" s="39">
        <f>IF(F18=0,(F19-F27)/F27*50,(F18-F27)/F27*50)</f>
        <v>-34.345648090169064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-75.60975609756098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-138.17034700315457</v>
      </c>
      <c r="E44" s="39">
        <f>IF(G18=0,(G19-G27)/G27*50,(G18-G27)/G27*50)</f>
        <v>-34.5360824742268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-76.65369649805449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3248</v>
      </c>
      <c r="C2" s="99"/>
      <c r="D2" s="99" t="s">
        <v>109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129000</v>
      </c>
      <c r="H3" s="15" t="s">
        <v>332</v>
      </c>
      <c r="I3" s="21" t="s">
        <v>8</v>
      </c>
      <c r="J3" s="58">
        <f>20100/1295753</f>
        <v>0.015512215676907559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4745</v>
      </c>
      <c r="F19" s="87">
        <v>573</v>
      </c>
      <c r="G19" s="86">
        <v>308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0.015</v>
      </c>
      <c r="K20" s="59">
        <v>20.7</v>
      </c>
      <c r="L20" s="41">
        <v>644</v>
      </c>
      <c r="M20" s="41">
        <v>2042</v>
      </c>
      <c r="N20" s="41">
        <v>729</v>
      </c>
      <c r="O20" s="60">
        <v>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/>
      <c r="K21" s="59"/>
      <c r="L21" s="41"/>
      <c r="M21" s="41"/>
      <c r="N21" s="41"/>
      <c r="O21" s="60">
        <v>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/>
      <c r="K22" s="64"/>
      <c r="L22" s="41"/>
      <c r="M22" s="41"/>
      <c r="N22" s="41"/>
      <c r="O22" s="64"/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2330</v>
      </c>
      <c r="F24" s="87">
        <v>320</v>
      </c>
      <c r="G24" s="86">
        <v>166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2388</v>
      </c>
      <c r="F25" s="83">
        <v>370</v>
      </c>
      <c r="G25" s="66">
        <v>201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1224</v>
      </c>
      <c r="F26" s="83">
        <v>220</v>
      </c>
      <c r="G26" s="66">
        <v>113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4058</v>
      </c>
      <c r="F27" s="65">
        <v>450</v>
      </c>
      <c r="G27" s="65">
        <v>255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0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/>
      <c r="F28" s="65"/>
      <c r="G28" s="65"/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4363.126519585772</v>
      </c>
      <c r="L28" s="41">
        <f>IF(OR(F37&lt;=0,F35&lt;=0,F25&lt;=0),IF(OR(F33&lt;=0,F31&lt;=0),IF(OR(F29&lt;=0,F27&lt;=0),0,F27/F29*F25),(F31/F33+F27/F29)/2*F25),(F35/F37+F31/F33+F27/F29)/3*F25)</f>
        <v>530.2547770700637</v>
      </c>
      <c r="M28" s="41">
        <f>IF(OR(G37&lt;=0,G35&lt;=0,G25&lt;=0),IF(OR(G33&lt;=0,G31&lt;=0),IF(OR(G29&lt;=0,G27&lt;=0),0,G27/G29*G25),(G31/G33+G27/G29)/2*G25),(G35/G37+G31/G33+G27/G29)/3*G25)</f>
        <v>310.6363636363636</v>
      </c>
    </row>
    <row r="29" spans="1:13" ht="13.5" customHeight="1">
      <c r="A29" s="8"/>
      <c r="B29" s="102"/>
      <c r="C29" s="25" t="s">
        <v>18</v>
      </c>
      <c r="D29" s="81" t="s">
        <v>182</v>
      </c>
      <c r="E29" s="65">
        <v>2221</v>
      </c>
      <c r="F29" s="65">
        <v>314</v>
      </c>
      <c r="G29" s="65">
        <v>165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183</v>
      </c>
      <c r="E30" s="65"/>
      <c r="F30" s="65"/>
      <c r="G30" s="65"/>
      <c r="H30" s="15"/>
      <c r="I30" s="105" t="s">
        <v>103</v>
      </c>
      <c r="J30" s="105"/>
      <c r="K30" s="41">
        <f>IF(E18=0,E19,E18)</f>
        <v>4745</v>
      </c>
      <c r="L30" s="41">
        <f>IF(F18=0,F19,F18)</f>
        <v>573</v>
      </c>
      <c r="M30" s="41">
        <f>IF(G18=0,G19,G18)</f>
        <v>308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3715</v>
      </c>
      <c r="F31" s="65">
        <v>316</v>
      </c>
      <c r="G31" s="65">
        <v>172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/>
      <c r="F32" s="65"/>
      <c r="G32" s="65"/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184</v>
      </c>
      <c r="E33" s="65"/>
      <c r="F33" s="65"/>
      <c r="G33" s="65"/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185</v>
      </c>
      <c r="E34" s="65"/>
      <c r="F34" s="65"/>
      <c r="G34" s="65"/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3226</v>
      </c>
      <c r="F35" s="65">
        <v>198</v>
      </c>
      <c r="G35" s="65">
        <v>104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/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186</v>
      </c>
      <c r="E37" s="65"/>
      <c r="F37" s="65"/>
      <c r="G37" s="65"/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187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107.20876459416414</v>
      </c>
      <c r="C41" s="39">
        <f>IF(B43&lt;=0,-100,IF((30-B43)*5&lt;-100,-100,(30-B43)*5))</f>
        <v>118.58766233766234</v>
      </c>
      <c r="D41" s="39">
        <f>IF(D42+D43+D44&lt;-20,-20,IF((D42+D43+D44)&gt;20,20,D42+D43+D44))</f>
        <v>0</v>
      </c>
      <c r="E41" s="39">
        <f>IF(E42+E43+E44&lt;-100,-100,IF(E42+E43+E44&gt;50,50,E42+E43+E44))</f>
        <v>32.52358449540486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0.00823732738577429</v>
      </c>
      <c r="L41" s="39">
        <f>IF(N20/E27*100&gt;30,30,N20/E27*100)</f>
        <v>17.964514539181863</v>
      </c>
      <c r="M41" s="39">
        <f>IF((L20-M20)*50/E27&lt;-50,-50,IF((L20-M20)*50/E27&gt;30,30,(L20-M20)*50/E27))</f>
        <v>-17.225234105470676</v>
      </c>
      <c r="N41" s="39">
        <f>(K20-50)/2</f>
        <v>-14.65</v>
      </c>
      <c r="O41" s="39">
        <f>IF(O20=0,-30,((O20/G3)*100-1)*30)</f>
        <v>-30</v>
      </c>
      <c r="P41" s="76">
        <f>G3*G4/1000</f>
        <v>129</v>
      </c>
    </row>
    <row r="42" spans="2:14" ht="13.5" customHeight="1">
      <c r="B42" s="29" t="s">
        <v>326</v>
      </c>
      <c r="C42" s="12"/>
      <c r="D42" s="39">
        <f>IF(OR(E26=0,E30=0),0,(E26-E30)/E30*100)</f>
        <v>0</v>
      </c>
      <c r="E42" s="39">
        <f>IF(E18=0,(E19-E27)/E27*50,(E18-E27)/E27*50)</f>
        <v>8.464760965993099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6.282467532467533</v>
      </c>
      <c r="C43" s="12"/>
      <c r="D43" s="39">
        <f>IF(OR(F26=0,F30=0),0,IF(F30&lt;0,(F26-F30)/(-F30)*50,(F26-F30)/(F30)*50))</f>
        <v>0</v>
      </c>
      <c r="E43" s="39">
        <f>IF(F18=0,(F19-F27)/F27*50,(F18-F27)/F27*50)</f>
        <v>13.666666666666666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0</v>
      </c>
      <c r="E44" s="39">
        <f>IF(G18=0,(G19-G27)/G27*50,(G18-G27)/G27*50)</f>
        <v>10.392156862745098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B35:B38"/>
    <mergeCell ref="J33:P33"/>
    <mergeCell ref="J34:K34"/>
    <mergeCell ref="L34:M34"/>
    <mergeCell ref="N34:O34"/>
    <mergeCell ref="P34:P35"/>
    <mergeCell ref="B31:B34"/>
    <mergeCell ref="K25:M25"/>
    <mergeCell ref="I27:J27"/>
    <mergeCell ref="B17:B26"/>
    <mergeCell ref="C17:C20"/>
    <mergeCell ref="C22:C25"/>
    <mergeCell ref="B27:B30"/>
    <mergeCell ref="I28:J28"/>
    <mergeCell ref="I29:J29"/>
    <mergeCell ref="I30:J30"/>
    <mergeCell ref="B2:C2"/>
    <mergeCell ref="D2:L2"/>
    <mergeCell ref="E5:G5"/>
    <mergeCell ref="B7:B16"/>
    <mergeCell ref="C7:C10"/>
    <mergeCell ref="C12:C15"/>
    <mergeCell ref="J5:P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3335</v>
      </c>
      <c r="C2" s="99"/>
      <c r="D2" s="99" t="s">
        <v>60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563</v>
      </c>
      <c r="H3" s="15" t="s">
        <v>332</v>
      </c>
      <c r="I3" s="21" t="s">
        <v>8</v>
      </c>
      <c r="J3" s="58">
        <f>100/49</f>
        <v>2.0408163265306123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22043</v>
      </c>
      <c r="F18" s="87">
        <v>165</v>
      </c>
      <c r="G18" s="86">
        <v>69</v>
      </c>
      <c r="H18" s="15" t="s">
        <v>343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24210</v>
      </c>
      <c r="F19" s="87">
        <v>328</v>
      </c>
      <c r="G19" s="86">
        <v>182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3.23</v>
      </c>
      <c r="K20" s="59">
        <v>51</v>
      </c>
      <c r="L20" s="41">
        <v>2630</v>
      </c>
      <c r="M20" s="41">
        <v>1782</v>
      </c>
      <c r="N20" s="41"/>
      <c r="O20" s="60">
        <v>22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3.23</v>
      </c>
      <c r="K21" s="59">
        <v>51.9</v>
      </c>
      <c r="L21" s="41">
        <v>2409</v>
      </c>
      <c r="M21" s="41">
        <v>1517</v>
      </c>
      <c r="N21" s="41">
        <v>0</v>
      </c>
      <c r="O21" s="60">
        <v>22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3.23</v>
      </c>
      <c r="K22" s="64">
        <v>55.4</v>
      </c>
      <c r="L22" s="41">
        <v>2521</v>
      </c>
      <c r="M22" s="41">
        <v>1057</v>
      </c>
      <c r="N22" s="41">
        <v>0</v>
      </c>
      <c r="O22" s="64">
        <v>22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11728</v>
      </c>
      <c r="F24" s="87">
        <v>71</v>
      </c>
      <c r="G24" s="86">
        <v>34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12561</v>
      </c>
      <c r="F25" s="83">
        <v>23</v>
      </c>
      <c r="G25" s="66">
        <v>1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6251</v>
      </c>
      <c r="F26" s="83">
        <v>-23</v>
      </c>
      <c r="G26" s="66">
        <v>-26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21765</v>
      </c>
      <c r="F27" s="65">
        <v>259</v>
      </c>
      <c r="G27" s="65">
        <v>77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24895.790829743884</v>
      </c>
      <c r="L27" s="41">
        <f>IF(OR(F38&lt;=0,F35&lt;=0,F26&lt;=0),IF(OR(F34&lt;=0,F31&lt;=0),IF(OR(F30&lt;=0,F27&lt;=0),0,F27/F30*F26),(F31/F34+F27/F30)/2*F26),(F35/F38+F31/F34+F27/F30)/3*F26)</f>
        <v>-154.25888157894738</v>
      </c>
      <c r="M27" s="41">
        <f>IF(OR(G38&lt;=0,G35&lt;=0,G26&lt;=0),IF(OR(G34&lt;=0,G31&lt;=0),IF(OR(G30&lt;=0,G27&lt;=0),0,G27/G30*G26),(G31/G34+G27/G30)/2*G26),(G35/G38+G31/G34+G27/G30)/3*G26)</f>
        <v>-210.42857142857142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16109</v>
      </c>
      <c r="F28" s="65">
        <v>225</v>
      </c>
      <c r="G28" s="65">
        <v>60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25284.30177922973</v>
      </c>
      <c r="L28" s="41">
        <f>IF(OR(F37&lt;=0,F35&lt;=0,F25&lt;=0),IF(OR(F33&lt;=0,F31&lt;=0),IF(OR(F29&lt;=0,F27&lt;=0),0,F27/F29*F25),(F31/F33+F27/F29)/2*F25),(F35/F37+F31/F33+F27/F29)/3*F25)</f>
        <v>52.91146926894446</v>
      </c>
      <c r="M28" s="41">
        <f>IF(OR(G37&lt;=0,G35&lt;=0,G25&lt;=0),IF(OR(G33&lt;=0,G31&lt;=0),IF(OR(G29&lt;=0,G27&lt;=0),0,G27/G29*G25),(G31/G33+G27/G29)/2*G25),(G35/G37+G31/G33+G27/G29)/3*G25)</f>
        <v>2.8473509286412515</v>
      </c>
    </row>
    <row r="29" spans="1:13" ht="13.5" customHeight="1">
      <c r="A29" s="8"/>
      <c r="B29" s="102"/>
      <c r="C29" s="25" t="s">
        <v>18</v>
      </c>
      <c r="D29" s="81" t="s">
        <v>176</v>
      </c>
      <c r="E29" s="65">
        <v>11276</v>
      </c>
      <c r="F29" s="65">
        <v>169</v>
      </c>
      <c r="G29" s="65">
        <v>31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177</v>
      </c>
      <c r="E30" s="65">
        <v>5723</v>
      </c>
      <c r="F30" s="65">
        <v>95</v>
      </c>
      <c r="G30" s="65">
        <v>49</v>
      </c>
      <c r="H30" s="15"/>
      <c r="I30" s="105" t="s">
        <v>103</v>
      </c>
      <c r="J30" s="105"/>
      <c r="K30" s="41">
        <f>IF(E18=0,E19,E18)</f>
        <v>22043</v>
      </c>
      <c r="L30" s="41">
        <f>IF(F18=0,F19,F18)</f>
        <v>165</v>
      </c>
      <c r="M30" s="41">
        <f>IF(G18=0,G19,G18)</f>
        <v>69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19475</v>
      </c>
      <c r="F31" s="65">
        <v>342</v>
      </c>
      <c r="G31" s="65">
        <v>190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14079</v>
      </c>
      <c r="F32" s="65">
        <v>198</v>
      </c>
      <c r="G32" s="65">
        <v>107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178</v>
      </c>
      <c r="E33" s="65">
        <v>9346</v>
      </c>
      <c r="F33" s="65">
        <v>96</v>
      </c>
      <c r="G33" s="65">
        <v>44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179</v>
      </c>
      <c r="E34" s="65">
        <v>4790</v>
      </c>
      <c r="F34" s="65">
        <v>32</v>
      </c>
      <c r="G34" s="65">
        <v>13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17814</v>
      </c>
      <c r="F35" s="65">
        <v>448</v>
      </c>
      <c r="G35" s="65">
        <v>261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12888</v>
      </c>
      <c r="F36" s="65">
        <v>361</v>
      </c>
      <c r="G36" s="65">
        <v>213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180</v>
      </c>
      <c r="E37" s="65">
        <v>8798</v>
      </c>
      <c r="F37" s="65">
        <v>248</v>
      </c>
      <c r="G37" s="65">
        <v>150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181</v>
      </c>
      <c r="E38" s="65">
        <v>4367</v>
      </c>
      <c r="F38" s="65">
        <v>68</v>
      </c>
      <c r="G38" s="65">
        <v>34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-64.80029632714962</v>
      </c>
      <c r="C41" s="39">
        <f>IF(B43&lt;=0,-100,IF((30-B43)*5&lt;-100,-100,(30-B43)*5))</f>
        <v>18.22536231884058</v>
      </c>
      <c r="D41" s="39">
        <f>IF(D42+D43+D44&lt;-20,-20,IF((D42+D43+D44)&gt;20,20,D42+D43+D44))</f>
        <v>-20</v>
      </c>
      <c r="E41" s="39">
        <f>IF(E42+E43+E44&lt;-100,-100,IF(E42+E43+E44&gt;50,50,E42+E43+E44))</f>
        <v>-22.702883323145212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1.323195420349661E-05</v>
      </c>
      <c r="L41" s="39">
        <f>IF(N20/E27*100&gt;30,30,N20/E27*100)</f>
        <v>0</v>
      </c>
      <c r="M41" s="39">
        <f>IF((L20-M20)*50/E27&lt;-50,-50,IF((L20-M20)*50/E27&gt;30,30,(L20-M20)*50/E27))</f>
        <v>1.9480817826786125</v>
      </c>
      <c r="N41" s="39">
        <f>(K20-50)/2</f>
        <v>0.5</v>
      </c>
      <c r="O41" s="39">
        <f>IF(O20=0,-30,((O20/G3)*100-1)*30)</f>
        <v>87.22912966252221</v>
      </c>
      <c r="P41" s="76">
        <f>G3*G4/1000</f>
        <v>56.3</v>
      </c>
    </row>
    <row r="42" spans="2:14" ht="13.5" customHeight="1">
      <c r="B42" s="29" t="s">
        <v>326</v>
      </c>
      <c r="C42" s="12"/>
      <c r="D42" s="39">
        <f>IF(OR(E26=0,E30=0),0,(E26-E30)/E30*100)</f>
        <v>9.225930456054517</v>
      </c>
      <c r="E42" s="39">
        <f>IF(E18=0,(E19-E27)/E27*50,(E18-E27)/E27*50)</f>
        <v>0.63864001837813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-8.950846757538207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26.354927536231884</v>
      </c>
      <c r="C43" s="12"/>
      <c r="D43" s="39">
        <f>IF(OR(F26=0,F30=0),0,IF(F30&lt;0,(F26-F30)/(-F30)*50,(F26-F30)/(F30)*50))</f>
        <v>-62.10526315789474</v>
      </c>
      <c r="E43" s="39">
        <f>IF(F18=0,(F19-F27)/F27*50,(F18-F27)/F27*50)</f>
        <v>-18.146718146718147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-49.69512195121951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-153.0612244897959</v>
      </c>
      <c r="E44" s="39">
        <f>IF(G18=0,(G19-G27)/G27*50,(G18-G27)/G27*50)</f>
        <v>-5.194805194805195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-62.08791208791209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3384</v>
      </c>
      <c r="C2" s="99"/>
      <c r="D2" s="99" t="s">
        <v>28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21900</v>
      </c>
      <c r="H3" s="15" t="s">
        <v>332</v>
      </c>
      <c r="I3" s="21" t="s">
        <v>8</v>
      </c>
      <c r="J3" s="58">
        <v>0.012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758</v>
      </c>
      <c r="F19" s="87">
        <v>-101</v>
      </c>
      <c r="G19" s="86">
        <v>-102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0.012</v>
      </c>
      <c r="K20" s="59">
        <v>15.5</v>
      </c>
      <c r="L20" s="41">
        <v>-175</v>
      </c>
      <c r="M20" s="41">
        <v>310</v>
      </c>
      <c r="N20" s="41"/>
      <c r="O20" s="60">
        <v>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0.0127</v>
      </c>
      <c r="K21" s="59">
        <v>35.8</v>
      </c>
      <c r="L21" s="41">
        <v>73</v>
      </c>
      <c r="M21" s="41">
        <v>164</v>
      </c>
      <c r="N21" s="41">
        <v>80</v>
      </c>
      <c r="O21" s="60">
        <v>500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0.0127</v>
      </c>
      <c r="K22" s="64"/>
      <c r="L22" s="41"/>
      <c r="M22" s="41"/>
      <c r="N22" s="41"/>
      <c r="O22" s="64"/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/>
      <c r="F24" s="87"/>
      <c r="G24" s="86"/>
      <c r="H24" s="15"/>
    </row>
    <row r="25" spans="1:13" ht="13.5" customHeight="1">
      <c r="A25" s="7"/>
      <c r="B25" s="105"/>
      <c r="C25" s="103"/>
      <c r="D25" s="81" t="s">
        <v>119</v>
      </c>
      <c r="E25" s="82"/>
      <c r="F25" s="83"/>
      <c r="G25" s="66"/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/>
      <c r="F26" s="83"/>
      <c r="G26" s="66"/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2980</v>
      </c>
      <c r="F27" s="65">
        <v>-136</v>
      </c>
      <c r="G27" s="65">
        <v>-145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0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2107</v>
      </c>
      <c r="F28" s="65">
        <v>-110</v>
      </c>
      <c r="G28" s="65">
        <v>-111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0</v>
      </c>
      <c r="L28" s="41">
        <f>IF(OR(F37&lt;=0,F35&lt;=0,F25&lt;=0),IF(OR(F33&lt;=0,F31&lt;=0),IF(OR(F29&lt;=0,F27&lt;=0),0,F27/F29*F25),(F31/F33+F27/F29)/2*F25),(F35/F37+F31/F33+F27/F29)/3*F25)</f>
        <v>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164</v>
      </c>
      <c r="E29" s="65">
        <v>1413</v>
      </c>
      <c r="F29" s="65">
        <v>-64</v>
      </c>
      <c r="G29" s="65">
        <v>-65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165</v>
      </c>
      <c r="E30" s="65">
        <v>638</v>
      </c>
      <c r="F30" s="65">
        <v>-62</v>
      </c>
      <c r="G30" s="65">
        <v>-63</v>
      </c>
      <c r="H30" s="15"/>
      <c r="I30" s="105" t="s">
        <v>103</v>
      </c>
      <c r="J30" s="105"/>
      <c r="K30" s="41">
        <f>IF(E18=0,E19,E18)</f>
        <v>758</v>
      </c>
      <c r="L30" s="41">
        <f>IF(F18=0,F19,F18)</f>
        <v>-101</v>
      </c>
      <c r="M30" s="41">
        <f>IF(G18=0,G19,G18)</f>
        <v>-102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2719</v>
      </c>
      <c r="F31" s="65">
        <v>-267</v>
      </c>
      <c r="G31" s="65">
        <v>-273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2062</v>
      </c>
      <c r="F32" s="65">
        <v>-201</v>
      </c>
      <c r="G32" s="65">
        <v>-124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166</v>
      </c>
      <c r="E33" s="65">
        <v>1339</v>
      </c>
      <c r="F33" s="65">
        <v>-118</v>
      </c>
      <c r="G33" s="65">
        <v>-71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167</v>
      </c>
      <c r="E34" s="65">
        <v>526</v>
      </c>
      <c r="F34" s="65">
        <v>-104</v>
      </c>
      <c r="G34" s="65">
        <v>-62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2643</v>
      </c>
      <c r="F35" s="65">
        <v>80</v>
      </c>
      <c r="G35" s="65">
        <v>43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1842</v>
      </c>
      <c r="F36" s="65">
        <v>59</v>
      </c>
      <c r="G36" s="65">
        <v>36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168</v>
      </c>
      <c r="E37" s="65">
        <v>1139</v>
      </c>
      <c r="F37" s="65">
        <v>31</v>
      </c>
      <c r="G37" s="65">
        <v>18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169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-220.25123872320904</v>
      </c>
      <c r="C41" s="39">
        <f>IF(B43&lt;=0,-100,IF((30-B43)*5&lt;-100,-100,(30-B43)*5))</f>
        <v>-100</v>
      </c>
      <c r="D41" s="39">
        <f>IF(D42+D43+D44&lt;-20,-20,IF((D42+D43+D44)&gt;20,20,D42+D43+D44))</f>
        <v>0</v>
      </c>
      <c r="E41" s="39">
        <f>IF(E42+E43+E44&lt;-100,-100,IF(E42+E43+E44&gt;50,50,E42+E43+E44))</f>
        <v>-64.97711246035095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0.11345762975934413</v>
      </c>
      <c r="L41" s="39">
        <f>IF(N20/E27*100&gt;30,30,N20/E27*100)</f>
        <v>0</v>
      </c>
      <c r="M41" s="39">
        <f>IF((L20-M20)*50/E27&lt;-50,-50,IF((L20-M20)*50/E27&gt;30,30,(L20-M20)*50/E27))</f>
        <v>-8.13758389261745</v>
      </c>
      <c r="N41" s="39">
        <f>(K20-50)/2</f>
        <v>-17.25</v>
      </c>
      <c r="O41" s="39">
        <f>IF(O20=0,-30,((O20/G3)*100-1)*30)</f>
        <v>-30</v>
      </c>
      <c r="P41" s="76">
        <f>G3*G4/1000</f>
        <v>21.9</v>
      </c>
    </row>
    <row r="42" spans="2:14" ht="13.5" customHeight="1">
      <c r="B42" s="29" t="s">
        <v>326</v>
      </c>
      <c r="C42" s="12"/>
      <c r="D42" s="39">
        <f>IF(OR(E26=0,E30=0),0,(E26-E30)/E30*100)</f>
        <v>0</v>
      </c>
      <c r="E42" s="39">
        <f>IF(E18=0,(E19-E27)/E27*50,(E18-E27)/E27*50)</f>
        <v>-37.281879194630875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0</v>
      </c>
      <c r="C43" s="12"/>
      <c r="D43" s="39">
        <f>IF(OR(F26=0,F30=0),0,IF(F30&lt;0,(F26-F30)/(-F30)*50,(F26-F30)/(F30)*50))</f>
        <v>0</v>
      </c>
      <c r="E43" s="39">
        <f>IF(F18=0,(F19-F27)/F27*50,(F18-F27)/F27*50)</f>
        <v>-12.867647058823529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0</v>
      </c>
      <c r="E44" s="39">
        <f>IF(G18=0,(G19-G27)/G27*50,(G18-G27)/G27*50)</f>
        <v>-14.827586206896552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3731</v>
      </c>
      <c r="C2" s="99"/>
      <c r="D2" s="99" t="s">
        <v>85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25810</v>
      </c>
      <c r="H3" s="15" t="s">
        <v>332</v>
      </c>
      <c r="I3" s="21" t="s">
        <v>8</v>
      </c>
      <c r="J3" s="58">
        <f>5200/156452</f>
        <v>0.033237031166108454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13720</v>
      </c>
      <c r="F19" s="87">
        <v>138</v>
      </c>
      <c r="G19" s="86">
        <v>104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0.022</v>
      </c>
      <c r="K20" s="59">
        <v>22.7</v>
      </c>
      <c r="L20" s="41">
        <v>-1995</v>
      </c>
      <c r="M20" s="41">
        <v>1964</v>
      </c>
      <c r="N20" s="41">
        <v>250</v>
      </c>
      <c r="O20" s="60">
        <v>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0.022618</v>
      </c>
      <c r="K21" s="59">
        <v>50</v>
      </c>
      <c r="L21" s="41">
        <v>196</v>
      </c>
      <c r="M21" s="41">
        <v>1612</v>
      </c>
      <c r="N21" s="41">
        <v>571</v>
      </c>
      <c r="O21" s="60">
        <v>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0.018795</v>
      </c>
      <c r="K22" s="64">
        <v>56.6</v>
      </c>
      <c r="L22" s="41">
        <v>312</v>
      </c>
      <c r="M22" s="41">
        <v>1362</v>
      </c>
      <c r="N22" s="41">
        <v>912</v>
      </c>
      <c r="O22" s="64">
        <v>1000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7060</v>
      </c>
      <c r="F24" s="87">
        <v>52</v>
      </c>
      <c r="G24" s="86">
        <v>50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6903</v>
      </c>
      <c r="F25" s="83">
        <v>41</v>
      </c>
      <c r="G25" s="66">
        <v>52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3319</v>
      </c>
      <c r="F26" s="83">
        <v>24</v>
      </c>
      <c r="G26" s="66">
        <v>-9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15694</v>
      </c>
      <c r="F27" s="65">
        <v>89</v>
      </c>
      <c r="G27" s="65">
        <v>-874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13005.20755796032</v>
      </c>
      <c r="L27" s="41">
        <f>IF(OR(F38&lt;=0,F35&lt;=0,F26&lt;=0),IF(OR(F34&lt;=0,F31&lt;=0),IF(OR(F30&lt;=0,F27&lt;=0),0,F27/F30*F26),(F31/F34+F27/F30)/2*F26),(F35/F38+F31/F34+F27/F30)/3*F26)</f>
        <v>-67.36419037098406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11957</v>
      </c>
      <c r="F28" s="65">
        <v>125</v>
      </c>
      <c r="G28" s="65">
        <v>-53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13630.50818840381</v>
      </c>
      <c r="L28" s="41">
        <f>IF(OR(F37&lt;=0,F35&lt;=0,F25&lt;=0),IF(OR(F33&lt;=0,F31&lt;=0),IF(OR(F29&lt;=0,F27&lt;=0),0,F27/F29*F25),(F31/F33+F27/F29)/2*F25),(F35/F37+F31/F33+F27/F29)/3*F25)</f>
        <v>-1468.2673541167067</v>
      </c>
      <c r="M28" s="41">
        <f>IF(OR(G37&lt;=0,G35&lt;=0,G25&lt;=0),IF(OR(G33&lt;=0,G31&lt;=0),IF(OR(G29&lt;=0,G27&lt;=0),0,G27/G29*G25),(G31/G33+G27/G29)/2*G25),(G35/G37+G31/G33+G27/G29)/3*G25)</f>
        <v>649.7066346143434</v>
      </c>
    </row>
    <row r="29" spans="1:13" ht="13.5" customHeight="1">
      <c r="A29" s="8"/>
      <c r="B29" s="102"/>
      <c r="C29" s="25" t="s">
        <v>18</v>
      </c>
      <c r="D29" s="81" t="s">
        <v>252</v>
      </c>
      <c r="E29" s="65">
        <v>8219</v>
      </c>
      <c r="F29" s="65">
        <v>75</v>
      </c>
      <c r="G29" s="65">
        <v>-31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253</v>
      </c>
      <c r="E30" s="65">
        <v>4243</v>
      </c>
      <c r="F30" s="65">
        <v>45</v>
      </c>
      <c r="G30" s="65">
        <v>57</v>
      </c>
      <c r="H30" s="15"/>
      <c r="I30" s="105" t="s">
        <v>103</v>
      </c>
      <c r="J30" s="105"/>
      <c r="K30" s="41">
        <f>IF(E18=0,E19,E18)</f>
        <v>13720</v>
      </c>
      <c r="L30" s="41">
        <f>IF(F18=0,F19,F18)</f>
        <v>138</v>
      </c>
      <c r="M30" s="41">
        <f>IF(G18=0,G19,G18)</f>
        <v>104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5315</v>
      </c>
      <c r="F31" s="65">
        <v>-1117</v>
      </c>
      <c r="G31" s="65">
        <v>-2288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3977</v>
      </c>
      <c r="F32" s="65">
        <v>-362</v>
      </c>
      <c r="G32" s="65">
        <v>-1033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254</v>
      </c>
      <c r="E33" s="65">
        <v>2864</v>
      </c>
      <c r="F33" s="65">
        <v>10</v>
      </c>
      <c r="G33" s="65">
        <v>-662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255</v>
      </c>
      <c r="E34" s="65">
        <v>1482</v>
      </c>
      <c r="F34" s="65">
        <v>68</v>
      </c>
      <c r="G34" s="65">
        <v>-454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6048</v>
      </c>
      <c r="F35" s="65">
        <v>428</v>
      </c>
      <c r="G35" s="65">
        <v>140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4355</v>
      </c>
      <c r="F36" s="65">
        <v>177</v>
      </c>
      <c r="G36" s="65">
        <v>72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256</v>
      </c>
      <c r="E37" s="65">
        <v>2802</v>
      </c>
      <c r="F37" s="65">
        <v>139</v>
      </c>
      <c r="G37" s="65">
        <v>24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257</v>
      </c>
      <c r="E38" s="65">
        <v>1353</v>
      </c>
      <c r="F38" s="65">
        <v>71</v>
      </c>
      <c r="G38" s="65">
        <v>31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-16.679748399713425</v>
      </c>
      <c r="C41" s="39">
        <f>IF(B43&lt;=0,-100,IF((30-B43)*5&lt;-100,-100,(30-B43)*5))</f>
        <v>122.70096153846154</v>
      </c>
      <c r="D41" s="39">
        <f>IF(D42+D43+D44&lt;-20,-20,IF((D42+D43+D44)&gt;20,20,D42+D43+D44))</f>
        <v>-20</v>
      </c>
      <c r="E41" s="39">
        <f>IF(E42+E43+E44&lt;-100,-100,IF(E42+E43+E44&gt;50,50,E42+E43+E44))</f>
        <v>-34.7105945168121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1.9662108526868423E-05</v>
      </c>
      <c r="L41" s="39">
        <f>IF(N20/E27*100&gt;30,30,N20/E27*100)</f>
        <v>1.5929654645087294</v>
      </c>
      <c r="M41" s="39">
        <f>IF((L20-M20)*50/E27&lt;-50,-50,IF((L20-M20)*50/E27&gt;30,30,(L20-M20)*50/E27))</f>
        <v>-12.61310054798012</v>
      </c>
      <c r="N41" s="39">
        <f>(K20-50)/2</f>
        <v>-13.65</v>
      </c>
      <c r="O41" s="39">
        <f>IF(O20=0,-30,((O20/G3)*100-1)*30)</f>
        <v>-30</v>
      </c>
      <c r="P41" s="76">
        <f>G3*G4/1000</f>
        <v>25.81</v>
      </c>
    </row>
    <row r="42" spans="2:14" ht="13.5" customHeight="1">
      <c r="B42" s="29" t="s">
        <v>326</v>
      </c>
      <c r="C42" s="12"/>
      <c r="D42" s="39">
        <f>IF(OR(E26=0,E30=0),0,(E26-E30)/E30*100)</f>
        <v>-21.777044543954748</v>
      </c>
      <c r="E42" s="39">
        <f>IF(E18=0,(E19-E27)/E27*50,(E18-E27)/E27*50)</f>
        <v>-6.2890276538804635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5.459807692307692</v>
      </c>
      <c r="C43" s="12"/>
      <c r="D43" s="39">
        <f>IF(OR(F26=0,F30=0),0,IF(F30&lt;0,(F26-F30)/(-F30)*50,(F26-F30)/(F30)*50))</f>
        <v>-23.333333333333332</v>
      </c>
      <c r="E43" s="39">
        <f>IF(F18=0,(F19-F27)/F27*50,(F18-F27)/F27*50)</f>
        <v>27.52808988764045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-115.78947368421053</v>
      </c>
      <c r="E44" s="39">
        <f>IF(G18=0,(G19-G27)/G27*50,(G18-G27)/G27*50)</f>
        <v>-55.94965675057209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3751</v>
      </c>
      <c r="C2" s="99"/>
      <c r="D2" s="99" t="s">
        <v>84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28000</v>
      </c>
      <c r="H3" s="15" t="s">
        <v>332</v>
      </c>
      <c r="I3" s="21" t="s">
        <v>8</v>
      </c>
      <c r="J3" s="58">
        <f>48500/2932807</f>
        <v>0.016537058183508153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2150</v>
      </c>
      <c r="F19" s="87">
        <v>55</v>
      </c>
      <c r="G19" s="86">
        <v>54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0.012</v>
      </c>
      <c r="K20" s="59">
        <v>40.1</v>
      </c>
      <c r="L20" s="41">
        <v>144</v>
      </c>
      <c r="M20" s="41">
        <v>621</v>
      </c>
      <c r="N20" s="41"/>
      <c r="O20" s="60">
        <v>500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0.01234</v>
      </c>
      <c r="K21" s="59">
        <v>46.4</v>
      </c>
      <c r="L21" s="41">
        <v>177</v>
      </c>
      <c r="M21" s="41">
        <v>358</v>
      </c>
      <c r="N21" s="41"/>
      <c r="O21" s="60">
        <v>500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0.01234</v>
      </c>
      <c r="K22" s="64">
        <v>53</v>
      </c>
      <c r="L22" s="41">
        <v>291</v>
      </c>
      <c r="M22" s="41">
        <v>252</v>
      </c>
      <c r="N22" s="41">
        <v>0</v>
      </c>
      <c r="O22" s="64">
        <v>3000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928</v>
      </c>
      <c r="F24" s="87">
        <v>-107</v>
      </c>
      <c r="G24" s="86">
        <v>-107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464</v>
      </c>
      <c r="F25" s="83">
        <v>-442</v>
      </c>
      <c r="G25" s="66">
        <v>-485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213</v>
      </c>
      <c r="F26" s="83">
        <v>-233</v>
      </c>
      <c r="G26" s="66">
        <v>-246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1689</v>
      </c>
      <c r="F27" s="65">
        <v>-468</v>
      </c>
      <c r="G27" s="65">
        <v>-584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1085.9021160788668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1342</v>
      </c>
      <c r="F28" s="65">
        <v>-313</v>
      </c>
      <c r="G28" s="65">
        <v>-423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918.356256390264</v>
      </c>
      <c r="L28" s="41">
        <f>IF(OR(F37&lt;=0,F35&lt;=0,F25&lt;=0),IF(OR(F33&lt;=0,F31&lt;=0),IF(OR(F29&lt;=0,F27&lt;=0),0,F27/F29*F25),(F31/F33+F27/F29)/2*F25),(F35/F37+F31/F33+F27/F29)/3*F25)</f>
        <v>-535.089772830946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246</v>
      </c>
      <c r="E29" s="65">
        <v>882</v>
      </c>
      <c r="F29" s="65">
        <v>-194</v>
      </c>
      <c r="G29" s="65">
        <v>-290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247</v>
      </c>
      <c r="E30" s="65">
        <v>325</v>
      </c>
      <c r="F30" s="65">
        <v>-187</v>
      </c>
      <c r="G30" s="65">
        <v>-187</v>
      </c>
      <c r="H30" s="15"/>
      <c r="I30" s="105" t="s">
        <v>103</v>
      </c>
      <c r="J30" s="105"/>
      <c r="K30" s="41">
        <f>IF(E18=0,E19,E18)</f>
        <v>2150</v>
      </c>
      <c r="L30" s="41">
        <f>IF(F18=0,F19,F18)</f>
        <v>55</v>
      </c>
      <c r="M30" s="41">
        <f>IF(G18=0,G19,G18)</f>
        <v>54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2387</v>
      </c>
      <c r="F31" s="65">
        <v>1</v>
      </c>
      <c r="G31" s="65">
        <v>-110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1742</v>
      </c>
      <c r="F32" s="65">
        <v>-22</v>
      </c>
      <c r="G32" s="65">
        <v>-12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248</v>
      </c>
      <c r="E33" s="65">
        <v>1238</v>
      </c>
      <c r="F33" s="65">
        <v>113</v>
      </c>
      <c r="G33" s="65">
        <v>66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249</v>
      </c>
      <c r="E34" s="65">
        <v>434</v>
      </c>
      <c r="F34" s="65">
        <v>-50</v>
      </c>
      <c r="G34" s="65">
        <v>-31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2547</v>
      </c>
      <c r="F35" s="65">
        <v>306</v>
      </c>
      <c r="G35" s="65">
        <v>179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1802</v>
      </c>
      <c r="F36" s="65">
        <v>116</v>
      </c>
      <c r="G36" s="65">
        <v>67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250</v>
      </c>
      <c r="E37" s="65">
        <v>1216</v>
      </c>
      <c r="F37" s="65">
        <v>111</v>
      </c>
      <c r="G37" s="65">
        <v>65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251</v>
      </c>
      <c r="E38" s="65">
        <v>554</v>
      </c>
      <c r="F38" s="65">
        <v>42</v>
      </c>
      <c r="G38" s="65">
        <v>24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6.549810391953798</v>
      </c>
      <c r="C41" s="39">
        <f>IF(B43&lt;=0,-100,IF((30-B43)*5&lt;-100,-100,(30-B43)*5))</f>
        <v>118.88888888888889</v>
      </c>
      <c r="D41" s="39">
        <f>IF(D42+D43+D44&lt;-20,-20,IF((D42+D43+D44)&gt;20,20,D42+D43+D44))</f>
        <v>-20</v>
      </c>
      <c r="E41" s="39">
        <f>IF(E42+E43+E44&lt;-100,-100,IF(E42+E43+E44&gt;50,50,E42+E43+E44))</f>
        <v>-96.85222756891167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0.012502028079097097</v>
      </c>
      <c r="L41" s="39">
        <f>IF(N20/E27*100&gt;30,30,N20/E27*100)</f>
        <v>0</v>
      </c>
      <c r="M41" s="39">
        <f>IF((L20-M20)*50/E27&lt;-50,-50,IF((L20-M20)*50/E27&gt;30,30,(L20-M20)*50/E27))</f>
        <v>-14.120781527531083</v>
      </c>
      <c r="N41" s="39">
        <f>(K20-50)/2</f>
        <v>-4.949999999999999</v>
      </c>
      <c r="O41" s="39">
        <f>IF(O20=0,-30,((O20/G3)*100-1)*30)</f>
        <v>23.57142857142857</v>
      </c>
      <c r="P41" s="76">
        <f>G3*G4/1000</f>
        <v>28</v>
      </c>
    </row>
    <row r="42" spans="2:14" ht="13.5" customHeight="1">
      <c r="B42" s="29" t="s">
        <v>326</v>
      </c>
      <c r="C42" s="12"/>
      <c r="D42" s="39">
        <f>IF(OR(E26=0,E30=0),0,(E26-E30)/E30*100)</f>
        <v>-34.46153846153846</v>
      </c>
      <c r="E42" s="39">
        <f>IF(E18=0,(E19-E27)/E27*50,(E18-E27)/E27*50)</f>
        <v>13.64712847838958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6.222222222222222</v>
      </c>
      <c r="C43" s="12"/>
      <c r="D43" s="39">
        <f>IF(OR(F26=0,F30=0),0,IF(F30&lt;0,(F26-F30)/(-F30)*50,(F26-F30)/(F30)*50))</f>
        <v>-12.299465240641712</v>
      </c>
      <c r="E43" s="39">
        <f>IF(F18=0,(F19-F27)/F27*50,(F18-F27)/F27*50)</f>
        <v>-55.876068376068375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-31.550802139037433</v>
      </c>
      <c r="E44" s="39">
        <f>IF(G18=0,(G19-G27)/G27*50,(G18-G27)/G27*50)</f>
        <v>-54.62328767123288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2:X50"/>
  <sheetViews>
    <sheetView workbookViewId="0" topLeftCell="C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3829</v>
      </c>
      <c r="C2" s="99"/>
      <c r="D2" s="99" t="s">
        <v>98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140000</v>
      </c>
      <c r="H3" s="15" t="s">
        <v>332</v>
      </c>
      <c r="I3" s="21" t="s">
        <v>8</v>
      </c>
      <c r="J3" s="58">
        <f>4600/157476</f>
        <v>0.0292108003759303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2668</v>
      </c>
      <c r="F18" s="87">
        <v>415</v>
      </c>
      <c r="G18" s="86">
        <v>237</v>
      </c>
      <c r="H18" s="15" t="s">
        <v>111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2668</v>
      </c>
      <c r="F19" s="87">
        <v>415</v>
      </c>
      <c r="G19" s="86">
        <v>237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15/534.98</f>
        <v>0.028038431343227782</v>
      </c>
      <c r="K20" s="59"/>
      <c r="L20" s="41"/>
      <c r="M20" s="41"/>
      <c r="N20" s="41"/>
      <c r="O20" s="60">
        <v>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0.026385</v>
      </c>
      <c r="K21" s="59">
        <v>78.4</v>
      </c>
      <c r="L21" s="41">
        <v>75</v>
      </c>
      <c r="M21" s="41">
        <v>44</v>
      </c>
      <c r="N21" s="41">
        <v>32</v>
      </c>
      <c r="O21" s="60">
        <v>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0.007545</v>
      </c>
      <c r="K22" s="64"/>
      <c r="L22" s="41"/>
      <c r="M22" s="41"/>
      <c r="N22" s="41"/>
      <c r="O22" s="64"/>
      <c r="P22" s="41"/>
    </row>
    <row r="23" spans="1:8" ht="13.5" customHeight="1">
      <c r="A23" s="7"/>
      <c r="B23" s="105"/>
      <c r="C23" s="102"/>
      <c r="D23" s="85" t="s">
        <v>48</v>
      </c>
      <c r="E23" s="86">
        <v>1071</v>
      </c>
      <c r="F23" s="87">
        <v>30</v>
      </c>
      <c r="G23" s="86">
        <v>6</v>
      </c>
      <c r="H23" s="15" t="s">
        <v>111</v>
      </c>
    </row>
    <row r="24" spans="1:8" ht="13.5" customHeight="1">
      <c r="A24" s="7"/>
      <c r="B24" s="105"/>
      <c r="C24" s="102"/>
      <c r="D24" s="85" t="s">
        <v>17</v>
      </c>
      <c r="E24" s="86">
        <v>1142</v>
      </c>
      <c r="F24" s="87">
        <v>6</v>
      </c>
      <c r="G24" s="86">
        <v>1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1103</v>
      </c>
      <c r="F25" s="83">
        <v>100</v>
      </c>
      <c r="G25" s="66">
        <v>46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509</v>
      </c>
      <c r="F26" s="83">
        <v>7</v>
      </c>
      <c r="G26" s="66">
        <v>-5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1773</v>
      </c>
      <c r="F27" s="65">
        <v>71</v>
      </c>
      <c r="G27" s="65">
        <v>38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3188.893992932862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1175</v>
      </c>
      <c r="F28" s="65">
        <v>-10</v>
      </c>
      <c r="G28" s="65">
        <v>-29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2575.3683707198015</v>
      </c>
      <c r="L28" s="41">
        <f>IF(OR(F37&lt;=0,F35&lt;=0,F25&lt;=0),IF(OR(F33&lt;=0,F31&lt;=0),IF(OR(F29&lt;=0,F27&lt;=0),0,F27/F29*F25),(F31/F33+F27/F29)/2*F25),(F35/F37+F31/F33+F27/F29)/3*F25)</f>
        <v>-71.08951175406871</v>
      </c>
      <c r="M28" s="41">
        <f>IF(OR(G37&lt;=0,G35&lt;=0,G25&lt;=0),IF(OR(G33&lt;=0,G31&lt;=0),IF(OR(G29&lt;=0,G27&lt;=0),0,G27/G29*G25),(G31/G33+G27/G29)/2*G25),(G35/G37+G31/G33+G27/G29)/3*G25)</f>
        <v>2.589743589743589</v>
      </c>
    </row>
    <row r="29" spans="1:13" ht="13.5" customHeight="1">
      <c r="A29" s="8"/>
      <c r="B29" s="102"/>
      <c r="C29" s="25" t="s">
        <v>18</v>
      </c>
      <c r="D29" s="81" t="s">
        <v>240</v>
      </c>
      <c r="E29" s="65">
        <v>718</v>
      </c>
      <c r="F29" s="65">
        <v>-28</v>
      </c>
      <c r="G29" s="65">
        <v>-39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241</v>
      </c>
      <c r="E30" s="65">
        <v>283</v>
      </c>
      <c r="F30" s="65">
        <v>-61</v>
      </c>
      <c r="G30" s="65">
        <v>-70</v>
      </c>
      <c r="H30" s="15"/>
      <c r="I30" s="105" t="s">
        <v>103</v>
      </c>
      <c r="J30" s="105"/>
      <c r="K30" s="41">
        <f>IF(E18=0,E19,E18)</f>
        <v>2668</v>
      </c>
      <c r="L30" s="41">
        <f>IF(F18=0,F19,F18)</f>
        <v>415</v>
      </c>
      <c r="M30" s="41">
        <f>IF(G18=0,G19,G18)</f>
        <v>237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1120</v>
      </c>
      <c r="F31" s="65">
        <v>88</v>
      </c>
      <c r="G31" s="65">
        <v>75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/>
      <c r="F32" s="65"/>
      <c r="G32" s="65"/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242</v>
      </c>
      <c r="E33" s="65">
        <v>509</v>
      </c>
      <c r="F33" s="65">
        <v>79</v>
      </c>
      <c r="G33" s="65">
        <v>69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243</v>
      </c>
      <c r="E34" s="65"/>
      <c r="F34" s="65"/>
      <c r="G34" s="65"/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549</v>
      </c>
      <c r="F35" s="65">
        <v>7</v>
      </c>
      <c r="G35" s="65">
        <v>3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/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244</v>
      </c>
      <c r="E37" s="65"/>
      <c r="F37" s="65"/>
      <c r="G37" s="65"/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245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132.32605000979495</v>
      </c>
      <c r="C41" s="39">
        <f>IF(B43&lt;=0,-100,IF((30-B43)*5&lt;-100,-100,(30-B43)*5))</f>
        <v>67.18606776261836</v>
      </c>
      <c r="D41" s="39">
        <f>IF(D42+D43+D44&lt;-20,-20,IF((D42+D43+D44)&gt;20,20,D42+D43+D44))</f>
        <v>20</v>
      </c>
      <c r="E41" s="39">
        <f>IF(E42+E43+E44&lt;-100,-100,IF(E42+E43+E44&gt;50,50,E42+E43+E44))</f>
        <v>50</v>
      </c>
      <c r="F41" s="39">
        <f>IF((F42+F43+F44)/2&lt;-20,-20,IF((F42+F43+F44)/2&gt;20,20,(F42+F43+F44)/2))</f>
        <v>0</v>
      </c>
      <c r="G41" s="39">
        <f>IF(G42+G43+G44&gt;50,50,IF(G42+G43+G44&lt;-100,-100,G42+G43+G44))</f>
        <v>50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0.13998224717660038</v>
      </c>
      <c r="L41" s="39">
        <f>IF(N20/E27*100&gt;30,30,N20/E27*100)</f>
        <v>0</v>
      </c>
      <c r="M41" s="39">
        <f>IF((L20-M20)*50/E27&lt;-50,-50,IF((L20-M20)*50/E27&gt;30,30,(L20-M20)*50/E27))</f>
        <v>0</v>
      </c>
      <c r="N41" s="39">
        <f>(K20-50)/2</f>
        <v>-25</v>
      </c>
      <c r="O41" s="39">
        <f>IF(O20=0,-30,((O20/G3)*100-1)*30)</f>
        <v>-30</v>
      </c>
      <c r="P41" s="76">
        <f>G3*G4/1000</f>
        <v>140</v>
      </c>
    </row>
    <row r="42" spans="2:14" ht="13.5" customHeight="1">
      <c r="B42" s="29" t="s">
        <v>326</v>
      </c>
      <c r="C42" s="12"/>
      <c r="D42" s="39">
        <f>IF(OR(E26=0,E30=0),0,(E26-E30)/E30*100)</f>
        <v>79.85865724381625</v>
      </c>
      <c r="E42" s="39">
        <f>IF(E18=0,(E19-E27)/E27*50,(E18-E27)/E27*50)</f>
        <v>25.239706711787928</v>
      </c>
      <c r="F42" s="39">
        <f>IF(OR(E17=0,E19=0),0,(E17-E19)/E19*100)</f>
        <v>0</v>
      </c>
      <c r="G42" s="39">
        <f>IF(OR(E23=0,E24=0),0,(E23-E24)/E24*100)</f>
        <v>-6.217162872154115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16.562786447476327</v>
      </c>
      <c r="C43" s="12"/>
      <c r="D43" s="39">
        <f>IF(OR(F26=0,F30=0),0,IF(F30&lt;0,(F26-F30)/(-F30)*50,(F26-F30)/(F30)*50))</f>
        <v>55.73770491803278</v>
      </c>
      <c r="E43" s="39">
        <f>IF(F18=0,(F19-F27)/F27*50,(F18-F27)/F27*50)</f>
        <v>242.25352112676055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400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92.85714285714286</v>
      </c>
      <c r="E44" s="39">
        <f>IF(G18=0,(G19-G27)/G27*50,(G18-G27)/G27*50)</f>
        <v>261.84210526315786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500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N34:O34"/>
    <mergeCell ref="P34:P35"/>
    <mergeCell ref="B17:B26"/>
    <mergeCell ref="C17:C20"/>
    <mergeCell ref="C22:C25"/>
    <mergeCell ref="K25:M25"/>
    <mergeCell ref="B35:B38"/>
    <mergeCell ref="B27:B30"/>
    <mergeCell ref="B31:B34"/>
    <mergeCell ref="J33:P33"/>
    <mergeCell ref="J34:K34"/>
    <mergeCell ref="L34:M34"/>
    <mergeCell ref="I30:J30"/>
    <mergeCell ref="I27:J27"/>
    <mergeCell ref="I28:J28"/>
    <mergeCell ref="I29:J29"/>
    <mergeCell ref="B2:C2"/>
    <mergeCell ref="D2:L2"/>
    <mergeCell ref="E5:G5"/>
    <mergeCell ref="B7:B16"/>
    <mergeCell ref="C7:C10"/>
    <mergeCell ref="C12:C15"/>
    <mergeCell ref="J5:P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3890</v>
      </c>
      <c r="C2" s="99"/>
      <c r="D2" s="99" t="s">
        <v>83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345</v>
      </c>
      <c r="H3" s="15" t="s">
        <v>332</v>
      </c>
      <c r="I3" s="21" t="s">
        <v>8</v>
      </c>
      <c r="J3" s="58">
        <f>49600/3442</f>
        <v>14.41022661243463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28000</v>
      </c>
      <c r="F19" s="87">
        <v>1000</v>
      </c>
      <c r="G19" s="86">
        <v>500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17.218</v>
      </c>
      <c r="K20" s="59">
        <v>36.8</v>
      </c>
      <c r="L20" s="41">
        <v>8200</v>
      </c>
      <c r="M20" s="41">
        <v>19373</v>
      </c>
      <c r="N20" s="41"/>
      <c r="O20" s="60">
        <v>10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14.79736</v>
      </c>
      <c r="K21" s="59">
        <v>39.3</v>
      </c>
      <c r="L21" s="41">
        <v>7873</v>
      </c>
      <c r="M21" s="41">
        <v>16522</v>
      </c>
      <c r="N21" s="41">
        <v>4555</v>
      </c>
      <c r="O21" s="60">
        <v>10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15.726542</v>
      </c>
      <c r="K22" s="64">
        <v>36.9</v>
      </c>
      <c r="L22" s="41">
        <v>8058</v>
      </c>
      <c r="M22" s="41">
        <v>20402</v>
      </c>
      <c r="N22" s="41">
        <v>3235</v>
      </c>
      <c r="O22" s="64">
        <v>10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14000</v>
      </c>
      <c r="F24" s="87">
        <v>500</v>
      </c>
      <c r="G24" s="86">
        <v>400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13640</v>
      </c>
      <c r="F25" s="83">
        <v>586</v>
      </c>
      <c r="G25" s="66">
        <v>496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6846</v>
      </c>
      <c r="F26" s="83">
        <v>362</v>
      </c>
      <c r="G26" s="66">
        <v>571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27828</v>
      </c>
      <c r="F27" s="65">
        <v>1130</v>
      </c>
      <c r="G27" s="65">
        <v>434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27427.080644128484</v>
      </c>
      <c r="L27" s="41">
        <f>IF(OR(F38&lt;=0,F35&lt;=0,F26&lt;=0),IF(OR(F34&lt;=0,F31&lt;=0),IF(OR(F30&lt;=0,F27&lt;=0),0,F27/F30*F26),(F31/F34+F27/F30)/2*F26),(F35/F38+F31/F34+F27/F30)/3*F26)</f>
        <v>1469.6199769166662</v>
      </c>
      <c r="M27" s="41">
        <f>IF(OR(G38&lt;=0,G35&lt;=0,G26&lt;=0),IF(OR(G34&lt;=0,G31&lt;=0),IF(OR(G30&lt;=0,G27&lt;=0),0,G27/G30*G26),(G31/G34+G27/G30)/2*G26),(G35/G38+G31/G34+G27/G30)/3*G26)</f>
        <v>2854.947710622711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21051</v>
      </c>
      <c r="F28" s="65">
        <v>728</v>
      </c>
      <c r="G28" s="65">
        <v>424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26639.496934118197</v>
      </c>
      <c r="L28" s="41">
        <f>IF(OR(F37&lt;=0,F35&lt;=0,F25&lt;=0),IF(OR(F33&lt;=0,F31&lt;=0),IF(OR(F29&lt;=0,F27&lt;=0),0,F27/F29*F25),(F31/F33+F27/F29)/2*F25),(F35/F37+F31/F33+F27/F29)/3*F25)</f>
        <v>974.7860338509457</v>
      </c>
      <c r="M28" s="41">
        <f>IF(OR(G37&lt;=0,G35&lt;=0,G25&lt;=0),IF(OR(G33&lt;=0,G31&lt;=0),IF(OR(G29&lt;=0,G27&lt;=0),0,G27/G29*G25),(G31/G33+G27/G29)/2*G25),(G35/G37+G31/G33+G27/G29)/3*G25)</f>
        <v>1047.7633136094673</v>
      </c>
    </row>
    <row r="29" spans="1:13" ht="13.5" customHeight="1">
      <c r="A29" s="8"/>
      <c r="B29" s="102"/>
      <c r="C29" s="25" t="s">
        <v>18</v>
      </c>
      <c r="D29" s="81" t="s">
        <v>234</v>
      </c>
      <c r="E29" s="65">
        <v>13809</v>
      </c>
      <c r="F29" s="65">
        <v>524</v>
      </c>
      <c r="G29" s="65">
        <v>338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235</v>
      </c>
      <c r="E30" s="65">
        <v>7016</v>
      </c>
      <c r="F30" s="65">
        <v>168</v>
      </c>
      <c r="G30" s="65">
        <v>52</v>
      </c>
      <c r="H30" s="15"/>
      <c r="I30" s="105" t="s">
        <v>103</v>
      </c>
      <c r="J30" s="105"/>
      <c r="K30" s="41">
        <f>IF(E18=0,E19,E18)</f>
        <v>28000</v>
      </c>
      <c r="L30" s="41">
        <f>IF(F18=0,F19,F18)</f>
        <v>1000</v>
      </c>
      <c r="M30" s="41">
        <f>IF(G18=0,G19,G18)</f>
        <v>500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31957</v>
      </c>
      <c r="F31" s="65">
        <v>723</v>
      </c>
      <c r="G31" s="65">
        <v>192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24403</v>
      </c>
      <c r="F32" s="65">
        <v>668</v>
      </c>
      <c r="G32" s="65">
        <v>276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236</v>
      </c>
      <c r="E33" s="65">
        <v>16826</v>
      </c>
      <c r="F33" s="65">
        <v>435</v>
      </c>
      <c r="G33" s="65">
        <v>78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237</v>
      </c>
      <c r="E34" s="65">
        <v>7716</v>
      </c>
      <c r="F34" s="65">
        <v>258</v>
      </c>
      <c r="G34" s="65">
        <v>70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32116</v>
      </c>
      <c r="F35" s="65">
        <v>607</v>
      </c>
      <c r="G35" s="65">
        <v>438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24443</v>
      </c>
      <c r="F36" s="65">
        <v>568</v>
      </c>
      <c r="G36" s="65">
        <v>180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238</v>
      </c>
      <c r="E37" s="65">
        <v>16515</v>
      </c>
      <c r="F37" s="65">
        <v>518</v>
      </c>
      <c r="G37" s="65">
        <v>169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239</v>
      </c>
      <c r="E38" s="65">
        <v>8212</v>
      </c>
      <c r="F38" s="65">
        <v>229</v>
      </c>
      <c r="G38" s="65">
        <v>112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173.2751532800707</v>
      </c>
      <c r="C41" s="39">
        <f>IF(B43&lt;=0,-100,IF((30-B43)*5&lt;-100,-100,(30-B43)*5))</f>
        <v>90.5979</v>
      </c>
      <c r="D41" s="39">
        <f>IF(D42+D43+D44&lt;-20,-20,IF((D42+D43+D44)&gt;20,20,D42+D43+D44))</f>
        <v>20</v>
      </c>
      <c r="E41" s="39">
        <f>IF(E42+E43+E44&lt;-100,-100,IF(E42+E43+E44&gt;50,50,E42+E43+E44))</f>
        <v>2.1605154999779987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0.2353202525476823</v>
      </c>
      <c r="L41" s="39">
        <f>IF(N20/E27*100&gt;30,30,N20/E27*100)</f>
        <v>0</v>
      </c>
      <c r="M41" s="39">
        <f>IF((L20-M20)*50/E27&lt;-50,-50,IF((L20-M20)*50/E27&gt;30,30,(L20-M20)*50/E27))</f>
        <v>-20.075104211585455</v>
      </c>
      <c r="N41" s="39">
        <f>(K20-50)/2</f>
        <v>-6.600000000000001</v>
      </c>
      <c r="O41" s="39">
        <f>IF(O20=0,-30,((O20/G3)*100-1)*30)</f>
        <v>56.95652173913044</v>
      </c>
      <c r="P41" s="76">
        <f>G3*G4/1000</f>
        <v>345</v>
      </c>
    </row>
    <row r="42" spans="2:14" ht="13.5" customHeight="1">
      <c r="B42" s="29" t="s">
        <v>326</v>
      </c>
      <c r="C42" s="12"/>
      <c r="D42" s="39">
        <f>IF(OR(E26=0,E30=0),0,(E26-E30)/E30*100)</f>
        <v>-2.4230330672748006</v>
      </c>
      <c r="E42" s="39">
        <f>IF(E18=0,(E19-E27)/E27*50,(E18-E27)/E27*50)</f>
        <v>0.3090412534138278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11.88042</v>
      </c>
      <c r="C43" s="12"/>
      <c r="D43" s="39">
        <f>IF(OR(F26=0,F30=0),0,IF(F30&lt;0,(F26-F30)/(-F30)*50,(F26-F30)/(F30)*50))</f>
        <v>57.738095238095234</v>
      </c>
      <c r="E43" s="39">
        <f>IF(F18=0,(F19-F27)/F27*50,(F18-F27)/F27*50)</f>
        <v>-5.752212389380531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998.076923076923</v>
      </c>
      <c r="E44" s="39">
        <f>IF(G18=0,(G19-G27)/G27*50,(G18-G27)/G27*50)</f>
        <v>7.603686635944701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1753</v>
      </c>
      <c r="C2" s="99"/>
      <c r="D2" s="99" t="s">
        <v>90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95100</v>
      </c>
      <c r="H3" s="15" t="s">
        <v>332</v>
      </c>
      <c r="I3" s="21" t="s">
        <v>8</v>
      </c>
      <c r="J3" s="58">
        <f>30500/3428886</f>
        <v>0.00889501721550381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322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5818</v>
      </c>
      <c r="F18" s="87">
        <v>-40</v>
      </c>
      <c r="G18" s="86">
        <v>-67</v>
      </c>
      <c r="H18" s="15" t="s">
        <v>339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5880</v>
      </c>
      <c r="F19" s="87">
        <v>84</v>
      </c>
      <c r="G19" s="86">
        <v>61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0.008</v>
      </c>
      <c r="K20" s="59" t="s">
        <v>108</v>
      </c>
      <c r="L20" s="41">
        <v>-983</v>
      </c>
      <c r="M20" s="41">
        <v>1000</v>
      </c>
      <c r="N20" s="41">
        <v>48</v>
      </c>
      <c r="O20" s="60">
        <v>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0.0089</v>
      </c>
      <c r="K21" s="59"/>
      <c r="L21" s="41">
        <v>-1046</v>
      </c>
      <c r="M21" s="41">
        <v>800</v>
      </c>
      <c r="N21" s="41">
        <v>48</v>
      </c>
      <c r="O21" s="60">
        <v>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0.0089</v>
      </c>
      <c r="K22" s="64">
        <v>3.6</v>
      </c>
      <c r="L22" s="41">
        <v>-884</v>
      </c>
      <c r="M22" s="41">
        <v>900</v>
      </c>
      <c r="N22" s="41">
        <v>57</v>
      </c>
      <c r="O22" s="64">
        <v>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2330</v>
      </c>
      <c r="F24" s="87">
        <v>-161</v>
      </c>
      <c r="G24" s="86">
        <v>-172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2314</v>
      </c>
      <c r="F25" s="83">
        <v>-284</v>
      </c>
      <c r="G25" s="66">
        <v>-305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860</v>
      </c>
      <c r="F26" s="83">
        <v>-224</v>
      </c>
      <c r="G26" s="66">
        <v>-237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5751</v>
      </c>
      <c r="F27" s="65">
        <v>5</v>
      </c>
      <c r="G27" s="65">
        <v>-77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10057.227390829175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3418</v>
      </c>
      <c r="F28" s="65">
        <v>-280</v>
      </c>
      <c r="G28" s="65">
        <v>-327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5140.820569628093</v>
      </c>
      <c r="L28" s="41">
        <f>IF(OR(F37&lt;=0,F35&lt;=0,F25&lt;=0),IF(OR(F33&lt;=0,F31&lt;=0),IF(OR(F29&lt;=0,F27&lt;=0),0,F27/F29*F25),(F31/F33+F27/F29)/2*F25),(F35/F37+F31/F33+F27/F29)/3*F25)</f>
        <v>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292</v>
      </c>
      <c r="E29" s="65">
        <v>2666</v>
      </c>
      <c r="F29" s="65">
        <v>-114</v>
      </c>
      <c r="G29" s="65">
        <v>-158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293</v>
      </c>
      <c r="E30" s="65">
        <v>616</v>
      </c>
      <c r="F30" s="65">
        <v>-225</v>
      </c>
      <c r="G30" s="65">
        <v>-226</v>
      </c>
      <c r="H30" s="15"/>
      <c r="I30" s="105" t="s">
        <v>103</v>
      </c>
      <c r="J30" s="105"/>
      <c r="K30" s="41">
        <f>IF(E18=0,E19,E18)</f>
        <v>5818</v>
      </c>
      <c r="L30" s="41">
        <f>IF(F18=0,F19,F18)</f>
        <v>-40</v>
      </c>
      <c r="M30" s="41">
        <f>IF(G18=0,G19,G18)</f>
        <v>-67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6317</v>
      </c>
      <c r="F31" s="65">
        <v>140</v>
      </c>
      <c r="G31" s="65">
        <v>59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3398</v>
      </c>
      <c r="F32" s="65">
        <v>-277</v>
      </c>
      <c r="G32" s="65">
        <v>-326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294</v>
      </c>
      <c r="E33" s="65">
        <v>2622</v>
      </c>
      <c r="F33" s="65">
        <v>-90</v>
      </c>
      <c r="G33" s="65">
        <v>-139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295</v>
      </c>
      <c r="E34" s="65">
        <v>435</v>
      </c>
      <c r="F34" s="65">
        <v>-253</v>
      </c>
      <c r="G34" s="65">
        <v>-297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6522</v>
      </c>
      <c r="F35" s="65">
        <v>93</v>
      </c>
      <c r="G35" s="65">
        <v>64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3774</v>
      </c>
      <c r="F36" s="65">
        <v>-281</v>
      </c>
      <c r="G36" s="65">
        <v>-296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296</v>
      </c>
      <c r="E37" s="65">
        <v>3108</v>
      </c>
      <c r="F37" s="65">
        <v>-89</v>
      </c>
      <c r="G37" s="65">
        <v>-97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297</v>
      </c>
      <c r="E38" s="65">
        <v>581</v>
      </c>
      <c r="F38" s="65">
        <v>-263</v>
      </c>
      <c r="G38" s="65">
        <v>-266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 t="e">
        <f>SUM(C41:O41)</f>
        <v>#VALUE!</v>
      </c>
      <c r="C41" s="39">
        <f>IF(B43&lt;=0,-100,IF((30-B43)*5&lt;-100,-100,(30-B43)*5))</f>
        <v>-100</v>
      </c>
      <c r="D41" s="39">
        <f>IF(D42+D43+D44&lt;-20,-20,IF((D42+D43+D44)&gt;20,20,D42+D43+D44))</f>
        <v>20</v>
      </c>
      <c r="E41" s="39">
        <f>IF(E42+E43+E44&lt;-100,-100,IF(E42+E43+E44&gt;50,50,E42+E43+E44))</f>
        <v>-100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2.7892339748340714E-05</v>
      </c>
      <c r="L41" s="39">
        <f>IF(N20/E27*100&gt;30,30,N20/E27*100)</f>
        <v>0.8346374543557642</v>
      </c>
      <c r="M41" s="39">
        <f>IF((L20-M20)*50/E27&lt;-50,-50,IF((L20-M20)*50/E27&gt;30,30,(L20-M20)*50/E27))</f>
        <v>-17.240479916536255</v>
      </c>
      <c r="N41" s="39" t="e">
        <f>(K20-50)/2</f>
        <v>#VALUE!</v>
      </c>
      <c r="O41" s="39">
        <f>IF(O20=0,-30,((O20/G3)*100-1)*30)</f>
        <v>-30</v>
      </c>
      <c r="P41" s="76">
        <f>G3*G4/1000</f>
        <v>95.1</v>
      </c>
    </row>
    <row r="42" spans="2:14" ht="13.5" customHeight="1">
      <c r="B42" s="29" t="s">
        <v>326</v>
      </c>
      <c r="C42" s="12"/>
      <c r="D42" s="39">
        <f>IF(OR(E26=0,E30=0),0,(E26-E30)/E30*100)</f>
        <v>39.61038961038961</v>
      </c>
      <c r="E42" s="39">
        <f>IF(E18=0,(E19-E27)/E27*50,(E18-E27)/E27*50)</f>
        <v>0.5825073900191271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-1.0544217687074828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0</v>
      </c>
      <c r="C43" s="12"/>
      <c r="D43" s="39">
        <f>IF(OR(F26=0,F30=0),0,IF(F30&lt;0,(F26-F30)/(-F30)*50,(F26-F30)/(F30)*50))</f>
        <v>0.2222222222222222</v>
      </c>
      <c r="E43" s="39">
        <f>IF(F18=0,(F19-F27)/F27*50,(F18-F27)/F27*50)</f>
        <v>-450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-147.61904761904762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-4.867256637168142</v>
      </c>
      <c r="E44" s="39">
        <f>IF(G18=0,(G19-G27)/G27*50,(G18-G27)/G27*50)</f>
        <v>-6.493506493506493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-209.8360655737705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4289</v>
      </c>
      <c r="C2" s="99"/>
      <c r="D2" s="99" t="s">
        <v>82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44200</v>
      </c>
      <c r="H3" s="15" t="s">
        <v>332</v>
      </c>
      <c r="I3" s="21" t="s">
        <v>8</v>
      </c>
      <c r="J3" s="58">
        <f>5300/189738</f>
        <v>0.02793325533103543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3000</v>
      </c>
      <c r="F19" s="87">
        <v>300</v>
      </c>
      <c r="G19" s="86">
        <v>140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25/900</f>
        <v>0.027777777777777776</v>
      </c>
      <c r="K20" s="59">
        <v>38.3</v>
      </c>
      <c r="L20" s="41">
        <v>181</v>
      </c>
      <c r="M20" s="41">
        <v>1215</v>
      </c>
      <c r="N20" s="41">
        <v>20</v>
      </c>
      <c r="O20" s="60">
        <v>600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0.028082</v>
      </c>
      <c r="K21" s="59"/>
      <c r="L21" s="41"/>
      <c r="M21" s="41"/>
      <c r="N21" s="41">
        <v>17</v>
      </c>
      <c r="O21" s="60">
        <v>600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0.028558</v>
      </c>
      <c r="K22" s="64">
        <v>81.5</v>
      </c>
      <c r="L22" s="41">
        <v>153</v>
      </c>
      <c r="M22" s="41">
        <v>0</v>
      </c>
      <c r="N22" s="41">
        <v>51</v>
      </c>
      <c r="O22" s="64">
        <v>600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1735</v>
      </c>
      <c r="F24" s="87">
        <v>226</v>
      </c>
      <c r="G24" s="86">
        <v>110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1753</v>
      </c>
      <c r="F25" s="83">
        <v>116</v>
      </c>
      <c r="G25" s="66">
        <v>53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813</v>
      </c>
      <c r="F26" s="83">
        <v>127</v>
      </c>
      <c r="G26" s="66">
        <v>60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2577</v>
      </c>
      <c r="F27" s="65">
        <v>242</v>
      </c>
      <c r="G27" s="65">
        <v>100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3566.0707318571763</v>
      </c>
      <c r="L27" s="41">
        <f>IF(OR(F38&lt;=0,F35&lt;=0,F26&lt;=0),IF(OR(F34&lt;=0,F31&lt;=0),IF(OR(F30&lt;=0,F27&lt;=0),0,F27/F30*F26),(F31/F34+F27/F30)/2*F26),(F35/F38+F31/F34+F27/F30)/3*F26)</f>
        <v>544.97977582846</v>
      </c>
      <c r="M27" s="41">
        <f>IF(OR(G38&lt;=0,G35&lt;=0,G26&lt;=0),IF(OR(G34&lt;=0,G31&lt;=0),IF(OR(G30&lt;=0,G27&lt;=0),0,G27/G30*G26),(G31/G34+G27/G30)/2*G26),(G35/G38+G31/G34+G27/G30)/3*G26)</f>
        <v>645.1417399804498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1967</v>
      </c>
      <c r="F28" s="65">
        <v>199</v>
      </c>
      <c r="G28" s="65">
        <v>82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3571.460235066054</v>
      </c>
      <c r="L28" s="41">
        <f>IF(OR(F37&lt;=0,F35&lt;=0,F25&lt;=0),IF(OR(F33&lt;=0,F31&lt;=0),IF(OR(F29&lt;=0,F27&lt;=0),0,F27/F29*F25),(F31/F33+F27/F29)/2*F25),(F35/F37+F31/F33+F27/F29)/3*F25)</f>
        <v>183.82777777777778</v>
      </c>
      <c r="M28" s="41">
        <f>IF(OR(G37&lt;=0,G35&lt;=0,G25&lt;=0),IF(OR(G33&lt;=0,G31&lt;=0),IF(OR(G29&lt;=0,G27&lt;=0),0,G27/G29*G25),(G31/G33+G27/G29)/2*G25),(G35/G37+G31/G33+G27/G29)/3*G25)</f>
        <v>64.13774118613318</v>
      </c>
    </row>
    <row r="29" spans="1:13" ht="13.5" customHeight="1">
      <c r="A29" s="8"/>
      <c r="B29" s="102"/>
      <c r="C29" s="25" t="s">
        <v>18</v>
      </c>
      <c r="D29" s="81" t="s">
        <v>228</v>
      </c>
      <c r="E29" s="65">
        <v>1532</v>
      </c>
      <c r="F29" s="65">
        <v>220</v>
      </c>
      <c r="G29" s="65">
        <v>103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229</v>
      </c>
      <c r="E30" s="65">
        <v>918</v>
      </c>
      <c r="F30" s="65">
        <v>171</v>
      </c>
      <c r="G30" s="65">
        <v>93</v>
      </c>
      <c r="H30" s="15"/>
      <c r="I30" s="105" t="s">
        <v>103</v>
      </c>
      <c r="J30" s="105"/>
      <c r="K30" s="41">
        <f>IF(E18=0,E19,E18)</f>
        <v>3000</v>
      </c>
      <c r="L30" s="41">
        <f>IF(F18=0,F19,F18)</f>
        <v>300</v>
      </c>
      <c r="M30" s="41">
        <f>IF(G18=0,G19,G18)</f>
        <v>140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1283</v>
      </c>
      <c r="F31" s="65">
        <v>119</v>
      </c>
      <c r="G31" s="65">
        <v>46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892</v>
      </c>
      <c r="F32" s="65">
        <v>95</v>
      </c>
      <c r="G32" s="65">
        <v>41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230</v>
      </c>
      <c r="E33" s="65">
        <v>575</v>
      </c>
      <c r="F33" s="65">
        <v>80</v>
      </c>
      <c r="G33" s="65">
        <v>33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231</v>
      </c>
      <c r="E34" s="65">
        <v>222</v>
      </c>
      <c r="F34" s="65">
        <v>24</v>
      </c>
      <c r="G34" s="65">
        <v>11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631</v>
      </c>
      <c r="F35" s="65">
        <v>52</v>
      </c>
      <c r="G35" s="65">
        <v>81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414</v>
      </c>
      <c r="F36" s="65">
        <v>25</v>
      </c>
      <c r="G36" s="65">
        <v>69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232</v>
      </c>
      <c r="E37" s="65">
        <v>287</v>
      </c>
      <c r="F37" s="65">
        <v>24</v>
      </c>
      <c r="G37" s="65">
        <v>64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233</v>
      </c>
      <c r="E38" s="65">
        <v>138</v>
      </c>
      <c r="F38" s="65">
        <v>8</v>
      </c>
      <c r="G38" s="65">
        <v>3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141.9295430866224</v>
      </c>
      <c r="C41" s="39">
        <f>IF(B43&lt;=0,-100,IF((30-B43)*5&lt;-100,-100,(30-B43)*5))</f>
        <v>106.15079365079366</v>
      </c>
      <c r="D41" s="39">
        <f>IF(D42+D43+D44&lt;-20,-20,IF((D42+D43+D44)&gt;20,20,D42+D43+D44))</f>
        <v>-20</v>
      </c>
      <c r="E41" s="39">
        <f>IF(E42+E43+E44&lt;-100,-100,IF(E42+E43+E44&gt;50,50,E42+E43+E44))</f>
        <v>40.19068876937435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7.02289432804098E-05</v>
      </c>
      <c r="L41" s="39">
        <f>IF(N20/E27*100&gt;30,30,N20/E27*100)</f>
        <v>0.7760962359332557</v>
      </c>
      <c r="M41" s="39">
        <f>IF((L20-M20)*50/E27&lt;-50,-50,IF((L20-M20)*50/E27&gt;30,30,(L20-M20)*50/E27))</f>
        <v>-20.06208769887466</v>
      </c>
      <c r="N41" s="39">
        <f>(K20-50)/2</f>
        <v>-5.850000000000001</v>
      </c>
      <c r="O41" s="39">
        <f>IF(O20=0,-30,((O20/G3)*100-1)*30)</f>
        <v>10.72398190045249</v>
      </c>
      <c r="P41" s="76">
        <f>G3*G4/1000</f>
        <v>44.2</v>
      </c>
    </row>
    <row r="42" spans="2:14" ht="13.5" customHeight="1">
      <c r="B42" s="29" t="s">
        <v>326</v>
      </c>
      <c r="C42" s="12"/>
      <c r="D42" s="39">
        <f>IF(OR(E26=0,E30=0),0,(E26-E30)/E30*100)</f>
        <v>-11.437908496732026</v>
      </c>
      <c r="E42" s="39">
        <f>IF(E18=0,(E19-E27)/E27*50,(E18-E27)/E27*50)</f>
        <v>8.20721769499418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8.769841269841269</v>
      </c>
      <c r="C43" s="12"/>
      <c r="D43" s="39">
        <f>IF(OR(F26=0,F30=0),0,IF(F30&lt;0,(F26-F30)/(-F30)*50,(F26-F30)/(F30)*50))</f>
        <v>-12.865497076023392</v>
      </c>
      <c r="E43" s="39">
        <f>IF(F18=0,(F19-F27)/F27*50,(F18-F27)/F27*50)</f>
        <v>11.983471074380166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-35.483870967741936</v>
      </c>
      <c r="E44" s="39">
        <f>IF(G18=0,(G19-G27)/G27*50,(G18-G27)/G27*50)</f>
        <v>20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4355</v>
      </c>
      <c r="C2" s="99"/>
      <c r="D2" s="99" t="s">
        <v>81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23840</v>
      </c>
      <c r="H3" s="15" t="s">
        <v>332</v>
      </c>
      <c r="I3" s="21" t="s">
        <v>8</v>
      </c>
      <c r="J3" s="58">
        <f>12400/227072</f>
        <v>0.05460822998872604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9000</v>
      </c>
      <c r="F18" s="87">
        <v>5</v>
      </c>
      <c r="G18" s="86">
        <v>-70</v>
      </c>
      <c r="H18" s="15" t="s">
        <v>340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9774</v>
      </c>
      <c r="F19" s="87">
        <v>100</v>
      </c>
      <c r="G19" s="86">
        <v>65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0.055</v>
      </c>
      <c r="K20" s="59">
        <v>33.5</v>
      </c>
      <c r="L20" s="41">
        <v>453</v>
      </c>
      <c r="M20" s="41">
        <v>2343</v>
      </c>
      <c r="N20" s="41">
        <v>1100</v>
      </c>
      <c r="O20" s="60">
        <v>300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0.055944</v>
      </c>
      <c r="K21" s="59">
        <v>35.3</v>
      </c>
      <c r="L21" s="41">
        <v>466</v>
      </c>
      <c r="M21" s="41">
        <v>2589</v>
      </c>
      <c r="N21" s="41">
        <v>1125</v>
      </c>
      <c r="O21" s="60">
        <v>300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0.02795</v>
      </c>
      <c r="K22" s="64">
        <v>33.5</v>
      </c>
      <c r="L22" s="41">
        <v>497</v>
      </c>
      <c r="M22" s="41">
        <v>3022</v>
      </c>
      <c r="N22" s="41">
        <v>1100</v>
      </c>
      <c r="O22" s="64">
        <v>1750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4340</v>
      </c>
      <c r="F24" s="87">
        <v>-36</v>
      </c>
      <c r="G24" s="86">
        <v>-55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3952</v>
      </c>
      <c r="F25" s="83">
        <v>-99</v>
      </c>
      <c r="G25" s="66">
        <v>-124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1885</v>
      </c>
      <c r="F26" s="83">
        <v>-36</v>
      </c>
      <c r="G26" s="66">
        <v>-43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4854</v>
      </c>
      <c r="F27" s="65">
        <v>-165</v>
      </c>
      <c r="G27" s="65">
        <v>-227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8677.169835371735</v>
      </c>
      <c r="L27" s="41">
        <f>IF(OR(F38&lt;=0,F35&lt;=0,F26&lt;=0),IF(OR(F34&lt;=0,F31&lt;=0),IF(OR(F30&lt;=0,F27&lt;=0),0,F27/F30*F26),(F31/F34+F27/F30)/2*F26),(F35/F38+F31/F34+F27/F30)/3*F26)</f>
        <v>-45.187944945420035</v>
      </c>
      <c r="M27" s="41">
        <f>IF(OR(G38&lt;=0,G35&lt;=0,G26&lt;=0),IF(OR(G34&lt;=0,G31&lt;=0),IF(OR(G30&lt;=0,G27&lt;=0),0,G27/G30*G26),(G31/G34+G27/G30)/2*G26),(G35/G38+G31/G34+G27/G30)/3*G26)</f>
        <v>-48.84734848484848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3313</v>
      </c>
      <c r="F28" s="65">
        <v>-180</v>
      </c>
      <c r="G28" s="65">
        <v>-234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8572.610373403777</v>
      </c>
      <c r="L28" s="41">
        <f>IF(OR(F37&lt;=0,F35&lt;=0,F25&lt;=0),IF(OR(F33&lt;=0,F31&lt;=0),IF(OR(F29&lt;=0,F27&lt;=0),0,F27/F29*F25),(F31/F33+F27/F29)/2*F25),(F35/F37+F31/F33+F27/F29)/3*F25)</f>
        <v>-93.94407568852783</v>
      </c>
      <c r="M28" s="41">
        <f>IF(OR(G37&lt;=0,G35&lt;=0,G25&lt;=0),IF(OR(G33&lt;=0,G31&lt;=0),IF(OR(G29&lt;=0,G27&lt;=0),0,G27/G29*G25),(G31/G33+G27/G29)/2*G25),(G35/G37+G31/G33+G27/G29)/3*G25)</f>
        <v>-109.59667943805876</v>
      </c>
    </row>
    <row r="29" spans="1:13" ht="13.5" customHeight="1">
      <c r="A29" s="8"/>
      <c r="B29" s="102"/>
      <c r="C29" s="25" t="s">
        <v>18</v>
      </c>
      <c r="D29" s="81" t="s">
        <v>222</v>
      </c>
      <c r="E29" s="65">
        <v>2062</v>
      </c>
      <c r="F29" s="65">
        <v>-103</v>
      </c>
      <c r="G29" s="65">
        <v>-135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223</v>
      </c>
      <c r="E30" s="65">
        <v>964</v>
      </c>
      <c r="F30" s="65">
        <v>-86</v>
      </c>
      <c r="G30" s="65">
        <v>-110</v>
      </c>
      <c r="H30" s="15"/>
      <c r="I30" s="105" t="s">
        <v>103</v>
      </c>
      <c r="J30" s="105"/>
      <c r="K30" s="41">
        <f>IF(E18=0,E19,E18)</f>
        <v>9000</v>
      </c>
      <c r="L30" s="41">
        <f>IF(F18=0,F19,F18)</f>
        <v>5</v>
      </c>
      <c r="M30" s="41">
        <f>IF(G18=0,G19,G18)</f>
        <v>-70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4022</v>
      </c>
      <c r="F31" s="65">
        <v>29</v>
      </c>
      <c r="G31" s="65">
        <v>5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3013</v>
      </c>
      <c r="F32" s="65">
        <v>67</v>
      </c>
      <c r="G32" s="65">
        <v>44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224</v>
      </c>
      <c r="E33" s="65">
        <v>2021</v>
      </c>
      <c r="F33" s="65">
        <v>98</v>
      </c>
      <c r="G33" s="65">
        <v>58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225</v>
      </c>
      <c r="E34" s="65">
        <v>983</v>
      </c>
      <c r="F34" s="65">
        <v>49</v>
      </c>
      <c r="G34" s="65">
        <v>24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3442</v>
      </c>
      <c r="F35" s="65">
        <v>108</v>
      </c>
      <c r="G35" s="65">
        <v>52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2483</v>
      </c>
      <c r="F36" s="65">
        <v>41</v>
      </c>
      <c r="G36" s="65">
        <v>23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226</v>
      </c>
      <c r="E37" s="65">
        <v>1591</v>
      </c>
      <c r="F37" s="65">
        <v>30</v>
      </c>
      <c r="G37" s="65">
        <v>20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227</v>
      </c>
      <c r="E38" s="65">
        <v>735</v>
      </c>
      <c r="F38" s="65">
        <v>-13</v>
      </c>
      <c r="G38" s="65">
        <v>-9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-250.69451077286263</v>
      </c>
      <c r="C41" s="39">
        <f>IF(B43&lt;=0,-100,IF((30-B43)*5&lt;-100,-100,(30-B43)*5))</f>
        <v>-100</v>
      </c>
      <c r="D41" s="39">
        <f>IF(D42+D43+D44&lt;-20,-20,IF((D42+D43+D44)&gt;20,20,D42+D43+D44))</f>
        <v>20</v>
      </c>
      <c r="E41" s="39">
        <f>IF(E42+E43+E44&lt;-100,-100,IF(E42+E43+E44&gt;50,50,E42+E43+E44))</f>
        <v>-43.38960357703245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0.00017226537667385146</v>
      </c>
      <c r="L41" s="39">
        <f>IF(N20/E27*100&gt;30,30,N20/E27*100)</f>
        <v>22.661722290894108</v>
      </c>
      <c r="M41" s="39">
        <f>IF((L20-M20)*50/E27&lt;-50,-50,IF((L20-M20)*50/E27&gt;30,30,(L20-M20)*50/E27))</f>
        <v>-19.46847960444994</v>
      </c>
      <c r="N41" s="39">
        <f>(K20-50)/2</f>
        <v>-8.25</v>
      </c>
      <c r="O41" s="39">
        <f>IF(O20=0,-30,((O20/G3)*100-1)*30)</f>
        <v>7.75167785234899</v>
      </c>
      <c r="P41" s="76">
        <f>G3*G4/1000</f>
        <v>23.84</v>
      </c>
    </row>
    <row r="42" spans="2:14" ht="13.5" customHeight="1">
      <c r="B42" s="29" t="s">
        <v>326</v>
      </c>
      <c r="C42" s="12"/>
      <c r="D42" s="39">
        <f>IF(OR(E26=0,E30=0),0,(E26-E30)/E30*100)</f>
        <v>95.53941908713693</v>
      </c>
      <c r="E42" s="39">
        <f>IF(E18=0,(E19-E27)/E27*50,(E18-E27)/E27*50)</f>
        <v>42.707045735475894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-7.918968692449356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0</v>
      </c>
      <c r="C43" s="12"/>
      <c r="D43" s="39">
        <f>IF(OR(F26=0,F30=0),0,IF(F30&lt;0,(F26-F30)/(-F30)*50,(F26-F30)/(F30)*50))</f>
        <v>29.069767441860467</v>
      </c>
      <c r="E43" s="39">
        <f>IF(F18=0,(F19-F27)/F27*50,(F18-F27)/F27*50)</f>
        <v>-51.515151515151516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-95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60.909090909090914</v>
      </c>
      <c r="E44" s="39">
        <f>IF(G18=0,(G19-G27)/G27*50,(G18-G27)/G27*50)</f>
        <v>-34.58149779735683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-207.6923076923077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4627</v>
      </c>
      <c r="C2" s="99"/>
      <c r="D2" s="99" t="s">
        <v>80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835</v>
      </c>
      <c r="H3" s="15" t="s">
        <v>332</v>
      </c>
      <c r="I3" s="21" t="s">
        <v>8</v>
      </c>
      <c r="J3" s="58">
        <f>24200/3316</f>
        <v>7.297949336550061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13195</v>
      </c>
      <c r="F18" s="87">
        <v>1070</v>
      </c>
      <c r="G18" s="86">
        <v>485</v>
      </c>
      <c r="H18" s="15" t="s">
        <v>335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13900</v>
      </c>
      <c r="F19" s="87">
        <v>1650</v>
      </c>
      <c r="G19" s="86">
        <v>830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145/19.85</f>
        <v>7.304785894206549</v>
      </c>
      <c r="K20" s="59">
        <v>70.4</v>
      </c>
      <c r="L20" s="41">
        <v>6764</v>
      </c>
      <c r="M20" s="41">
        <v>9</v>
      </c>
      <c r="N20" s="41">
        <v>442</v>
      </c>
      <c r="O20" s="60">
        <v>16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7.3242</v>
      </c>
      <c r="K21" s="59">
        <v>73.5</v>
      </c>
      <c r="L21" s="41">
        <v>6248</v>
      </c>
      <c r="M21" s="41">
        <v>154</v>
      </c>
      <c r="N21" s="41">
        <v>442</v>
      </c>
      <c r="O21" s="60">
        <v>16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7.3242</v>
      </c>
      <c r="K22" s="64">
        <v>72.8</v>
      </c>
      <c r="L22" s="41">
        <v>6357</v>
      </c>
      <c r="M22" s="41">
        <v>110</v>
      </c>
      <c r="N22" s="41">
        <v>423</v>
      </c>
      <c r="O22" s="64">
        <v>14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6600</v>
      </c>
      <c r="F24" s="87">
        <v>700</v>
      </c>
      <c r="G24" s="86">
        <v>340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6467</v>
      </c>
      <c r="F25" s="83">
        <v>576</v>
      </c>
      <c r="G25" s="66">
        <v>242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3130</v>
      </c>
      <c r="F26" s="83">
        <v>304</v>
      </c>
      <c r="G26" s="66">
        <v>145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13434</v>
      </c>
      <c r="F27" s="65">
        <v>1480</v>
      </c>
      <c r="G27" s="65">
        <v>683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13266.05103320104</v>
      </c>
      <c r="L27" s="41">
        <f>IF(OR(F38&lt;=0,F35&lt;=0,F26&lt;=0),IF(OR(F34&lt;=0,F31&lt;=0),IF(OR(F30&lt;=0,F27&lt;=0),0,F27/F30*F26),(F31/F34+F27/F30)/2*F26),(F35/F38+F31/F34+F27/F30)/3*F26)</f>
        <v>1386.4956943105417</v>
      </c>
      <c r="M27" s="41">
        <f>IF(OR(G38&lt;=0,G35&lt;=0,G26&lt;=0),IF(OR(G34&lt;=0,G31&lt;=0),IF(OR(G30&lt;=0,G27&lt;=0),0,G27/G30*G26),(G31/G34+G27/G30)/2*G26),(G35/G38+G31/G34+G27/G30)/3*G26)</f>
        <v>587.3747777255684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9963</v>
      </c>
      <c r="F28" s="65">
        <v>1131</v>
      </c>
      <c r="G28" s="65">
        <v>541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13435.186319661629</v>
      </c>
      <c r="L28" s="41">
        <f>IF(OR(F37&lt;=0,F35&lt;=0,F25&lt;=0),IF(OR(F33&lt;=0,F31&lt;=0),IF(OR(F29&lt;=0,F27&lt;=0),0,F27/F29*F25),(F31/F33+F27/F29)/2*F25),(F35/F37+F31/F33+F27/F29)/3*F25)</f>
        <v>1314.1116309433144</v>
      </c>
      <c r="M28" s="41">
        <f>IF(OR(G37&lt;=0,G35&lt;=0,G25&lt;=0),IF(OR(G33&lt;=0,G31&lt;=0),IF(OR(G29&lt;=0,G27&lt;=0),0,G27/G29*G25),(G31/G33+G27/G29)/2*G25),(G35/G37+G31/G33+G27/G29)/3*G25)</f>
        <v>523.6612042424803</v>
      </c>
    </row>
    <row r="29" spans="1:13" ht="13.5" customHeight="1">
      <c r="A29" s="8"/>
      <c r="B29" s="102"/>
      <c r="C29" s="25" t="s">
        <v>18</v>
      </c>
      <c r="D29" s="81" t="s">
        <v>216</v>
      </c>
      <c r="E29" s="65">
        <v>6596</v>
      </c>
      <c r="F29" s="65">
        <v>800</v>
      </c>
      <c r="G29" s="65">
        <v>401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217</v>
      </c>
      <c r="E30" s="65">
        <v>3346</v>
      </c>
      <c r="F30" s="65">
        <v>458</v>
      </c>
      <c r="G30" s="65">
        <v>242</v>
      </c>
      <c r="H30" s="15"/>
      <c r="I30" s="105" t="s">
        <v>103</v>
      </c>
      <c r="J30" s="105"/>
      <c r="K30" s="41">
        <f>IF(E18=0,E19,E18)</f>
        <v>13195</v>
      </c>
      <c r="L30" s="41">
        <f>IF(F18=0,F19,F18)</f>
        <v>1070</v>
      </c>
      <c r="M30" s="41">
        <f>IF(G18=0,G19,G18)</f>
        <v>485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12119</v>
      </c>
      <c r="F31" s="65">
        <v>1132</v>
      </c>
      <c r="G31" s="65">
        <v>524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8898</v>
      </c>
      <c r="F32" s="65">
        <v>802</v>
      </c>
      <c r="G32" s="65">
        <v>362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218</v>
      </c>
      <c r="E33" s="65">
        <v>5850</v>
      </c>
      <c r="F33" s="65">
        <v>505</v>
      </c>
      <c r="G33" s="65">
        <v>216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219</v>
      </c>
      <c r="E34" s="65">
        <v>2807</v>
      </c>
      <c r="F34" s="65">
        <v>210</v>
      </c>
      <c r="G34" s="65">
        <v>92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10742</v>
      </c>
      <c r="F35" s="65">
        <v>501</v>
      </c>
      <c r="G35" s="65">
        <v>189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7817</v>
      </c>
      <c r="F36" s="65">
        <v>309</v>
      </c>
      <c r="G36" s="65">
        <v>123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220</v>
      </c>
      <c r="E37" s="65">
        <v>5057</v>
      </c>
      <c r="F37" s="65">
        <v>182</v>
      </c>
      <c r="G37" s="65">
        <v>80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221</v>
      </c>
      <c r="E38" s="65">
        <v>2451</v>
      </c>
      <c r="F38" s="65">
        <v>99</v>
      </c>
      <c r="G38" s="65">
        <v>52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52.168285619460505</v>
      </c>
      <c r="C41" s="39">
        <f>IF(B43&lt;=0,-100,IF((30-B43)*5&lt;-100,-100,(30-B43)*5))</f>
        <v>87.11859565296425</v>
      </c>
      <c r="D41" s="39">
        <f>IF(D42+D43+D44&lt;-20,-20,IF((D42+D43+D44)&gt;20,20,D42+D43+D44))</f>
        <v>-20</v>
      </c>
      <c r="E41" s="39">
        <f>IF(E42+E43+E44&lt;-100,-100,IF(E42+E43+E44&gt;50,50,E42+E43+E44))</f>
        <v>-29.235760918562537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-81.78972265779927</v>
      </c>
      <c r="I41" s="39">
        <f>IF(L27=0,0,IF((L27-L30)/L30*100&lt;-30,-30,IF((L27-L30)/L30*100&gt;30,30,(L27-L30)/L30*100)))</f>
        <v>29.579036851452496</v>
      </c>
      <c r="J41" s="39">
        <f>IF(J42+J43+J44&gt;20,20,IF(J42+J43+J44&lt;-50,-50,J42+J43+J44))</f>
        <v>0</v>
      </c>
      <c r="K41" s="39">
        <f>POWER(LOG(J3*G3/1000),4)</f>
        <v>0.3795152669922216</v>
      </c>
      <c r="L41" s="39">
        <f>IF(N20/E27*100&gt;30,30,N20/E27*100)</f>
        <v>3.2901592973053444</v>
      </c>
      <c r="M41" s="39">
        <f>IF((L20-M20)*50/E27&lt;-50,-50,IF((L20-M20)*50/E27&gt;30,30,(L20-M20)*50/E27))</f>
        <v>25.14143218698824</v>
      </c>
      <c r="N41" s="39">
        <f>(K20-50)/2</f>
        <v>10.200000000000003</v>
      </c>
      <c r="O41" s="39">
        <f>IF(O20=0,-30,((O20/G3)*100-1)*30)</f>
        <v>27.48502994011976</v>
      </c>
      <c r="P41" s="76">
        <f>G3*G4/1000</f>
        <v>83.5</v>
      </c>
    </row>
    <row r="42" spans="2:14" ht="13.5" customHeight="1">
      <c r="B42" s="29" t="s">
        <v>326</v>
      </c>
      <c r="C42" s="12"/>
      <c r="D42" s="39">
        <f>IF(OR(E26=0,E30=0),0,(E26-E30)/E30*100)</f>
        <v>-6.455469216975493</v>
      </c>
      <c r="E42" s="39">
        <f>IF(E18=0,(E19-E27)/E27*50,(E18-E27)/E27*50)</f>
        <v>-0.8895340181628704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-5.071942446043166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12.576280869407151</v>
      </c>
      <c r="C43" s="12"/>
      <c r="D43" s="39">
        <f>IF(OR(F26=0,F30=0),0,IF(F30&lt;0,(F26-F30)/(-F30)*50,(F26-F30)/(F30)*50))</f>
        <v>-16.812227074235807</v>
      </c>
      <c r="E43" s="39">
        <f>IF(F18=0,(F19-F27)/F27*50,(F18-F27)/F27*50)</f>
        <v>-13.85135135135135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-35.15151515151515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-40.082644628099175</v>
      </c>
      <c r="E44" s="39">
        <f>IF(G18=0,(G19-G27)/G27*50,(G18-G27)/G27*50)</f>
        <v>-14.494875549048317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-41.566265060240966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4666</v>
      </c>
      <c r="C2" s="99"/>
      <c r="D2" s="99" t="s">
        <v>79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880</v>
      </c>
      <c r="H3" s="15" t="s">
        <v>332</v>
      </c>
      <c r="I3" s="21" t="s">
        <v>8</v>
      </c>
      <c r="J3" s="58">
        <f>266500/1884</f>
        <v>141.4543524416136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81600</v>
      </c>
      <c r="F18" s="87">
        <v>8200</v>
      </c>
      <c r="G18" s="86">
        <v>4600</v>
      </c>
      <c r="H18" s="15" t="s">
        <v>342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88800</v>
      </c>
      <c r="F19" s="87">
        <v>12000</v>
      </c>
      <c r="G19" s="86">
        <v>7100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1552/10.97</f>
        <v>141.47675478577938</v>
      </c>
      <c r="K20" s="59">
        <v>51.7</v>
      </c>
      <c r="L20" s="41">
        <v>24660</v>
      </c>
      <c r="M20" s="41">
        <v>15000</v>
      </c>
      <c r="N20" s="41">
        <v>12000</v>
      </c>
      <c r="O20" s="60">
        <v>25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70.23221</v>
      </c>
      <c r="K21" s="59">
        <v>71</v>
      </c>
      <c r="L21" s="41">
        <v>15761</v>
      </c>
      <c r="M21" s="41">
        <v>3194</v>
      </c>
      <c r="N21" s="41">
        <v>6400</v>
      </c>
      <c r="O21" s="60">
        <v>25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71.538064</v>
      </c>
      <c r="K22" s="64">
        <v>72.9</v>
      </c>
      <c r="L22" s="41">
        <v>18704</v>
      </c>
      <c r="M22" s="41">
        <v>3056</v>
      </c>
      <c r="N22" s="41">
        <v>11900</v>
      </c>
      <c r="O22" s="64">
        <v>15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42300</v>
      </c>
      <c r="F24" s="87">
        <v>5400</v>
      </c>
      <c r="G24" s="86">
        <v>3200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40143</v>
      </c>
      <c r="F25" s="83">
        <v>4563</v>
      </c>
      <c r="G25" s="66">
        <v>2665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20050</v>
      </c>
      <c r="F26" s="83">
        <v>2544</v>
      </c>
      <c r="G26" s="66">
        <v>1552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75458</v>
      </c>
      <c r="F27" s="65">
        <v>11873</v>
      </c>
      <c r="G27" s="65">
        <v>6840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84886.05627600983</v>
      </c>
      <c r="L27" s="41">
        <f>IF(OR(F38&lt;=0,F35&lt;=0,F26&lt;=0),IF(OR(F34&lt;=0,F31&lt;=0),IF(OR(F30&lt;=0,F27&lt;=0),0,F27/F30*F26),(F31/F34+F27/F30)/2*F26),(F35/F38+F31/F34+F27/F30)/3*F26)</f>
        <v>10790.475605026348</v>
      </c>
      <c r="M27" s="41">
        <f>IF(OR(G38&lt;=0,G35&lt;=0,G26&lt;=0),IF(OR(G34&lt;=0,G31&lt;=0),IF(OR(G30&lt;=0,G27&lt;=0),0,G27/G30*G26),(G31/G34+G27/G30)/2*G26),(G35/G38+G31/G34+G27/G30)/3*G26)</f>
        <v>6610.352179888898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55610</v>
      </c>
      <c r="F28" s="65">
        <v>9039</v>
      </c>
      <c r="G28" s="65">
        <v>5283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84090.6064446286</v>
      </c>
      <c r="L28" s="41">
        <f>IF(OR(F37&lt;=0,F35&lt;=0,F25&lt;=0),IF(OR(F33&lt;=0,F31&lt;=0),IF(OR(F29&lt;=0,F27&lt;=0),0,F27/F29*F25),(F31/F33+F27/F29)/2*F25),(F35/F37+F31/F33+F27/F29)/3*F25)</f>
        <v>10107.46777329953</v>
      </c>
      <c r="M28" s="41">
        <f>IF(OR(G37&lt;=0,G35&lt;=0,G25&lt;=0),IF(OR(G33&lt;=0,G31&lt;=0),IF(OR(G29&lt;=0,G27&lt;=0),0,G27/G29*G25),(G31/G33+G27/G29)/2*G25),(G35/G37+G31/G33+G27/G29)/3*G25)</f>
        <v>6032.002865448922</v>
      </c>
    </row>
    <row r="29" spans="1:13" ht="13.5" customHeight="1">
      <c r="A29" s="8"/>
      <c r="B29" s="102"/>
      <c r="C29" s="25" t="s">
        <v>18</v>
      </c>
      <c r="D29" s="81" t="s">
        <v>210</v>
      </c>
      <c r="E29" s="65">
        <v>36654</v>
      </c>
      <c r="F29" s="65">
        <v>6202</v>
      </c>
      <c r="G29" s="65">
        <v>3619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211</v>
      </c>
      <c r="E30" s="65">
        <v>18146</v>
      </c>
      <c r="F30" s="65">
        <v>3321</v>
      </c>
      <c r="G30" s="65">
        <v>1963</v>
      </c>
      <c r="H30" s="15"/>
      <c r="I30" s="105" t="s">
        <v>103</v>
      </c>
      <c r="J30" s="105"/>
      <c r="K30" s="41">
        <f>IF(E18=0,E19,E18)</f>
        <v>81600</v>
      </c>
      <c r="L30" s="41">
        <f>IF(F18=0,F19,F18)</f>
        <v>8200</v>
      </c>
      <c r="M30" s="41">
        <f>IF(G18=0,G19,G18)</f>
        <v>4600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65299</v>
      </c>
      <c r="F31" s="65">
        <v>11759</v>
      </c>
      <c r="G31" s="65">
        <v>7176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47561</v>
      </c>
      <c r="F32" s="65">
        <v>8466</v>
      </c>
      <c r="G32" s="65">
        <v>5211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212</v>
      </c>
      <c r="E33" s="65">
        <v>30388</v>
      </c>
      <c r="F33" s="65">
        <v>4790</v>
      </c>
      <c r="G33" s="65">
        <v>2770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213</v>
      </c>
      <c r="E34" s="65">
        <v>14920</v>
      </c>
      <c r="F34" s="65">
        <v>2493</v>
      </c>
      <c r="G34" s="65">
        <v>1471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55360</v>
      </c>
      <c r="F35" s="65">
        <v>8626</v>
      </c>
      <c r="G35" s="65">
        <v>5192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40612</v>
      </c>
      <c r="F36" s="65">
        <v>5944</v>
      </c>
      <c r="G36" s="65">
        <v>3568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214</v>
      </c>
      <c r="E37" s="65">
        <v>26656</v>
      </c>
      <c r="F37" s="65">
        <v>3790</v>
      </c>
      <c r="G37" s="65">
        <v>2248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215</v>
      </c>
      <c r="E38" s="65">
        <v>13288</v>
      </c>
      <c r="F38" s="65">
        <v>1946</v>
      </c>
      <c r="G38" s="65">
        <v>1176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19.564294800287712</v>
      </c>
      <c r="C41" s="39">
        <f>IF(B43&lt;=0,-100,IF((30-B43)*5&lt;-100,-100,(30-B43)*5))</f>
        <v>14.674408465776256</v>
      </c>
      <c r="D41" s="39">
        <f>IF(D42+D43+D44&lt;-20,-20,IF((D42+D43+D44)&gt;20,20,D42+D43+D44))</f>
        <v>-20</v>
      </c>
      <c r="E41" s="39">
        <f>IF(E42+E43+E44&lt;-100,-100,IF(E42+E43+E44&gt;50,50,E42+E43+E44))</f>
        <v>-27.7723236072178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-74.98604238040858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19.267181455502808</v>
      </c>
      <c r="L41" s="39">
        <f>IF(N20/E27*100&gt;30,30,N20/E27*100)</f>
        <v>15.902886373876859</v>
      </c>
      <c r="M41" s="39">
        <f>IF((L20-M20)*50/E27&lt;-50,-50,IF((L20-M20)*50/E27&gt;30,30,(L20-M20)*50/E27))</f>
        <v>6.400911765485436</v>
      </c>
      <c r="N41" s="39">
        <f>(K20-50)/2</f>
        <v>0.8500000000000014</v>
      </c>
      <c r="O41" s="39">
        <f>IF(O20=0,-30,((O20/G3)*100-1)*30)</f>
        <v>55.22727272727273</v>
      </c>
      <c r="P41" s="76">
        <f>G3*G4/1000</f>
        <v>88</v>
      </c>
    </row>
    <row r="42" spans="2:14" ht="13.5" customHeight="1">
      <c r="B42" s="29" t="s">
        <v>326</v>
      </c>
      <c r="C42" s="12"/>
      <c r="D42" s="39">
        <f>IF(OR(E26=0,E30=0),0,(E26-E30)/E30*100)</f>
        <v>10.49267056100518</v>
      </c>
      <c r="E42" s="39">
        <f>IF(E18=0,(E19-E27)/E27*50,(E18-E27)/E27*50)</f>
        <v>4.069813671181319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-8.108108108108109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27.06511830684475</v>
      </c>
      <c r="C43" s="12"/>
      <c r="D43" s="39">
        <f>IF(OR(F26=0,F30=0),0,IF(F30&lt;0,(F26-F30)/(-F30)*50,(F26-F30)/(F30)*50))</f>
        <v>-11.698283649503162</v>
      </c>
      <c r="E43" s="39">
        <f>IF(F18=0,(F19-F27)/F27*50,(F18-F27)/F27*50)</f>
        <v>-15.467868272551167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-31.666666666666664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-20.93734080489047</v>
      </c>
      <c r="E44" s="39">
        <f>IF(G18=0,(G19-G27)/G27*50,(G18-G27)/G27*50)</f>
        <v>-16.374269005847953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-35.2112676056338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4707</v>
      </c>
      <c r="C2" s="99"/>
      <c r="D2" s="99" t="s">
        <v>78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305</v>
      </c>
      <c r="H3" s="15" t="s">
        <v>332</v>
      </c>
      <c r="I3" s="21" t="s">
        <v>8</v>
      </c>
      <c r="J3" s="58">
        <f>5200/935</f>
        <v>5.561497326203209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2468</v>
      </c>
      <c r="F19" s="87">
        <v>102</v>
      </c>
      <c r="G19" s="86">
        <v>46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103/18.56</f>
        <v>5.549568965517242</v>
      </c>
      <c r="K20" s="59">
        <v>41.4</v>
      </c>
      <c r="L20" s="41">
        <v>1396</v>
      </c>
      <c r="M20" s="41">
        <v>2314</v>
      </c>
      <c r="N20" s="41"/>
      <c r="O20" s="60">
        <v>7.5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5.600992</v>
      </c>
      <c r="K21" s="59">
        <v>39.6</v>
      </c>
      <c r="L21" s="41">
        <v>1448</v>
      </c>
      <c r="M21" s="41">
        <v>2346</v>
      </c>
      <c r="N21" s="41">
        <v>250</v>
      </c>
      <c r="O21" s="60">
        <v>7.5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5.601024</v>
      </c>
      <c r="K22" s="64">
        <v>40.9</v>
      </c>
      <c r="L22" s="41">
        <v>1487</v>
      </c>
      <c r="M22" s="41">
        <v>2487</v>
      </c>
      <c r="N22" s="41">
        <v>11</v>
      </c>
      <c r="O22" s="64">
        <v>7.5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1342</v>
      </c>
      <c r="F24" s="87">
        <v>81</v>
      </c>
      <c r="G24" s="86">
        <v>43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1320</v>
      </c>
      <c r="F25" s="83">
        <v>99</v>
      </c>
      <c r="G25" s="66">
        <v>52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194</v>
      </c>
      <c r="F26" s="83">
        <v>-103</v>
      </c>
      <c r="G26" s="66">
        <v>-103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2430</v>
      </c>
      <c r="F27" s="65">
        <v>88</v>
      </c>
      <c r="G27" s="65">
        <v>46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2085.778321439612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1677</v>
      </c>
      <c r="F28" s="65">
        <v>5</v>
      </c>
      <c r="G28" s="65">
        <v>-4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2470.605125632278</v>
      </c>
      <c r="L28" s="41">
        <f>IF(OR(F37&lt;=0,F35&lt;=0,F25&lt;=0),IF(OR(F33&lt;=0,F31&lt;=0),IF(OR(F29&lt;=0,F27&lt;=0),0,F27/F29*F25),(F31/F33+F27/F29)/2*F25),(F35/F37+F31/F33+F27/F29)/3*F25)</f>
        <v>118.0128683812</v>
      </c>
      <c r="M28" s="41">
        <f>IF(OR(G37&lt;=0,G35&lt;=0,G25&lt;=0),IF(OR(G33&lt;=0,G31&lt;=0),IF(OR(G29&lt;=0,G27&lt;=0),0,G27/G29*G25),(G31/G33+G27/G29)/2*G25),(G35/G37+G31/G33+G27/G29)/3*G25)</f>
        <v>76.9992471296819</v>
      </c>
    </row>
    <row r="29" spans="1:13" ht="13.5" customHeight="1">
      <c r="A29" s="8"/>
      <c r="B29" s="102"/>
      <c r="C29" s="25" t="s">
        <v>18</v>
      </c>
      <c r="D29" s="81" t="s">
        <v>204</v>
      </c>
      <c r="E29" s="65">
        <v>1281</v>
      </c>
      <c r="F29" s="65">
        <v>62</v>
      </c>
      <c r="G29" s="65">
        <v>28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205</v>
      </c>
      <c r="E30" s="65">
        <v>182</v>
      </c>
      <c r="F30" s="65">
        <v>-107</v>
      </c>
      <c r="G30" s="65">
        <v>-113</v>
      </c>
      <c r="H30" s="15"/>
      <c r="I30" s="105" t="s">
        <v>103</v>
      </c>
      <c r="J30" s="105"/>
      <c r="K30" s="41">
        <f>IF(E18=0,E19,E18)</f>
        <v>2468</v>
      </c>
      <c r="L30" s="41">
        <f>IF(F18=0,F19,F18)</f>
        <v>102</v>
      </c>
      <c r="M30" s="41">
        <f>IF(G18=0,G19,G18)</f>
        <v>46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2611</v>
      </c>
      <c r="F31" s="65">
        <v>159</v>
      </c>
      <c r="G31" s="65">
        <v>-105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1857</v>
      </c>
      <c r="F32" s="65">
        <v>98</v>
      </c>
      <c r="G32" s="65">
        <v>-128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206</v>
      </c>
      <c r="E33" s="65">
        <v>1449</v>
      </c>
      <c r="F33" s="65">
        <v>145</v>
      </c>
      <c r="G33" s="65">
        <v>-115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207</v>
      </c>
      <c r="E34" s="65">
        <v>372</v>
      </c>
      <c r="F34" s="65">
        <v>-26</v>
      </c>
      <c r="G34" s="65">
        <v>-238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2353</v>
      </c>
      <c r="F35" s="65">
        <v>88</v>
      </c>
      <c r="G35" s="65">
        <v>83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1662</v>
      </c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208</v>
      </c>
      <c r="E37" s="65">
        <v>1228</v>
      </c>
      <c r="F37" s="65">
        <v>83</v>
      </c>
      <c r="G37" s="65">
        <v>44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209</v>
      </c>
      <c r="E38" s="65">
        <v>198</v>
      </c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12.652662627587354</v>
      </c>
      <c r="C41" s="39">
        <f>IF(B43&lt;=0,-100,IF((30-B43)*5&lt;-100,-100,(30-B43)*5))</f>
        <v>-33.9802754872564</v>
      </c>
      <c r="D41" s="39">
        <f>IF(D42+D43+D44&lt;-20,-20,IF((D42+D43+D44)&gt;20,20,D42+D43+D44))</f>
        <v>17.31212299403516</v>
      </c>
      <c r="E41" s="39">
        <f>IF(E42+E43+E44&lt;-100,-100,IF(E42+E43+E44&gt;50,50,E42+E43+E44))</f>
        <v>8.73643845866068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0.002773747758114386</v>
      </c>
      <c r="L41" s="39">
        <f>IF(N20/E27*100&gt;30,30,N20/E27*100)</f>
        <v>0</v>
      </c>
      <c r="M41" s="39">
        <f>IF((L20-M20)*50/E27&lt;-50,-50,IF((L20-M20)*50/E27&gt;30,30,(L20-M20)*50/E27))</f>
        <v>-18.88888888888889</v>
      </c>
      <c r="N41" s="39">
        <f>(K20-50)/2</f>
        <v>-4.300000000000001</v>
      </c>
      <c r="O41" s="39">
        <f>IF(O20=0,-30,((O20/G3)*100-1)*30)</f>
        <v>43.77049180327869</v>
      </c>
      <c r="P41" s="76">
        <f>G3*G4/1000</f>
        <v>30.5</v>
      </c>
    </row>
    <row r="42" spans="2:14" ht="13.5" customHeight="1">
      <c r="B42" s="29" t="s">
        <v>326</v>
      </c>
      <c r="C42" s="12"/>
      <c r="D42" s="39">
        <f>IF(OR(E26=0,E30=0),0,(E26-E30)/E30*100)</f>
        <v>6.593406593406594</v>
      </c>
      <c r="E42" s="39">
        <f>IF(E18=0,(E19-E27)/E27*50,(E18-E27)/E27*50)</f>
        <v>0.7818930041152263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36.79605509745128</v>
      </c>
      <c r="C43" s="12"/>
      <c r="D43" s="39">
        <f>IF(OR(F26=0,F30=0),0,IF(F30&lt;0,(F26-F30)/(-F30)*50,(F26-F30)/(F30)*50))</f>
        <v>1.8691588785046727</v>
      </c>
      <c r="E43" s="39">
        <f>IF(F18=0,(F19-F27)/F27*50,(F18-F27)/F27*50)</f>
        <v>7.954545454545454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8.849557522123893</v>
      </c>
      <c r="E44" s="39">
        <f>IF(G18=0,(G19-G27)/G27*50,(G18-G27)/G27*50)</f>
        <v>0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4989</v>
      </c>
      <c r="C2" s="99"/>
      <c r="D2" s="99" t="s">
        <v>93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312</v>
      </c>
      <c r="H3" s="15" t="s">
        <v>332</v>
      </c>
      <c r="I3" s="21" t="s">
        <v>8</v>
      </c>
      <c r="J3" s="58">
        <f>50800/1112</f>
        <v>45.68345323741007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22600</v>
      </c>
      <c r="F19" s="87">
        <v>700</v>
      </c>
      <c r="G19" s="86">
        <v>300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331/7.2</f>
        <v>45.97222222222222</v>
      </c>
      <c r="K20" s="59">
        <v>68.6</v>
      </c>
      <c r="L20" s="41">
        <v>19539</v>
      </c>
      <c r="M20" s="41">
        <v>2330</v>
      </c>
      <c r="N20" s="41">
        <v>1143</v>
      </c>
      <c r="O20" s="60">
        <v>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46.125957</v>
      </c>
      <c r="K21" s="59">
        <v>68.5</v>
      </c>
      <c r="L21" s="41">
        <v>18493</v>
      </c>
      <c r="M21" s="41">
        <v>1963</v>
      </c>
      <c r="N21" s="41">
        <v>1472</v>
      </c>
      <c r="O21" s="60">
        <v>5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46.471228</v>
      </c>
      <c r="K22" s="64">
        <v>68.4</v>
      </c>
      <c r="L22" s="41">
        <v>18574</v>
      </c>
      <c r="M22" s="41">
        <v>1885</v>
      </c>
      <c r="N22" s="41">
        <v>1194</v>
      </c>
      <c r="O22" s="64">
        <v>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10900</v>
      </c>
      <c r="F24" s="87">
        <v>500</v>
      </c>
      <c r="G24" s="86">
        <v>250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12389</v>
      </c>
      <c r="F25" s="83">
        <v>1067</v>
      </c>
      <c r="G25" s="66">
        <v>508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6573</v>
      </c>
      <c r="F26" s="83">
        <v>695</v>
      </c>
      <c r="G26" s="66">
        <v>331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21793</v>
      </c>
      <c r="F27" s="65">
        <v>1835</v>
      </c>
      <c r="G27" s="65">
        <v>908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21807.563239001498</v>
      </c>
      <c r="L27" s="41">
        <f>IF(OR(F38&lt;=0,F35&lt;=0,F26&lt;=0),IF(OR(F34&lt;=0,F31&lt;=0),IF(OR(F30&lt;=0,F27&lt;=0),0,F27/F30*F26),(F31/F34+F27/F30)/2*F26),(F35/F38+F31/F34+F27/F30)/3*F26)</f>
        <v>1112.7859766115453</v>
      </c>
      <c r="M27" s="41">
        <f>IF(OR(G38&lt;=0,G35&lt;=0,G26&lt;=0),IF(OR(G34&lt;=0,G31&lt;=0),IF(OR(G30&lt;=0,G27&lt;=0),0,G27/G30*G26),(G31/G34+G27/G30)/2*G26),(G35/G38+G31/G34+G27/G30)/3*G26)</f>
        <v>468.4507432058312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16239</v>
      </c>
      <c r="F28" s="65">
        <v>1703</v>
      </c>
      <c r="G28" s="65">
        <v>850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23016.096977792236</v>
      </c>
      <c r="L28" s="41">
        <f>IF(OR(F37&lt;=0,F35&lt;=0,F25&lt;=0),IF(OR(F33&lt;=0,F31&lt;=0),IF(OR(F29&lt;=0,F27&lt;=0),0,F27/F29*F25),(F31/F33+F27/F29)/2*F25),(F35/F37+F31/F33+F27/F29)/3*F25)</f>
        <v>1186.5161141073927</v>
      </c>
      <c r="M28" s="41">
        <f>IF(OR(G37&lt;=0,G35&lt;=0,G25&lt;=0),IF(OR(G33&lt;=0,G31&lt;=0),IF(OR(G29&lt;=0,G27&lt;=0),0,G27/G29*G25),(G31/G33+G27/G29)/2*G25),(G35/G37+G31/G33+G27/G29)/3*G25)</f>
        <v>541.0640163631952</v>
      </c>
    </row>
    <row r="29" spans="1:13" ht="13.5" customHeight="1">
      <c r="A29" s="8"/>
      <c r="B29" s="102"/>
      <c r="C29" s="25" t="s">
        <v>18</v>
      </c>
      <c r="D29" s="81" t="s">
        <v>252</v>
      </c>
      <c r="E29" s="65">
        <v>11146</v>
      </c>
      <c r="F29" s="65">
        <v>1636</v>
      </c>
      <c r="G29" s="65">
        <v>815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253</v>
      </c>
      <c r="E30" s="65">
        <v>6243</v>
      </c>
      <c r="F30" s="65">
        <v>1271</v>
      </c>
      <c r="G30" s="65">
        <v>780</v>
      </c>
      <c r="H30" s="15"/>
      <c r="I30" s="105" t="s">
        <v>103</v>
      </c>
      <c r="J30" s="105"/>
      <c r="K30" s="41">
        <f>IF(E18=0,E19,E18)</f>
        <v>22600</v>
      </c>
      <c r="L30" s="41">
        <f>IF(F18=0,F19,F18)</f>
        <v>700</v>
      </c>
      <c r="M30" s="41">
        <f>IF(G18=0,G19,G18)</f>
        <v>300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20730</v>
      </c>
      <c r="F31" s="65">
        <v>2008</v>
      </c>
      <c r="G31" s="65">
        <v>1198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15321</v>
      </c>
      <c r="F32" s="65">
        <v>1710</v>
      </c>
      <c r="G32" s="65">
        <v>1037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254</v>
      </c>
      <c r="E33" s="65">
        <v>11561</v>
      </c>
      <c r="F33" s="65">
        <v>1905</v>
      </c>
      <c r="G33" s="65">
        <v>1202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255</v>
      </c>
      <c r="E34" s="65">
        <v>6554</v>
      </c>
      <c r="F34" s="65">
        <v>1333</v>
      </c>
      <c r="G34" s="65">
        <v>839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20579</v>
      </c>
      <c r="F35" s="65">
        <v>1983</v>
      </c>
      <c r="G35" s="65">
        <v>1027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16287</v>
      </c>
      <c r="F36" s="65">
        <v>1828</v>
      </c>
      <c r="G36" s="65">
        <v>964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256</v>
      </c>
      <c r="E37" s="65">
        <v>11276</v>
      </c>
      <c r="F37" s="65">
        <v>1709</v>
      </c>
      <c r="G37" s="65">
        <v>947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257</v>
      </c>
      <c r="E38" s="65">
        <v>6237</v>
      </c>
      <c r="F38" s="65">
        <v>1070</v>
      </c>
      <c r="G38" s="65">
        <v>621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-77.21598792852285</v>
      </c>
      <c r="C41" s="39">
        <f>IF(B43&lt;=0,-100,IF((30-B43)*5&lt;-100,-100,(30-B43)*5))</f>
        <v>-89.05555555555554</v>
      </c>
      <c r="D41" s="39">
        <f>IF(D42+D43+D44&lt;-20,-20,IF((D42+D43+D44)&gt;20,20,D42+D43+D44))</f>
        <v>-20</v>
      </c>
      <c r="E41" s="39">
        <f>IF(E42+E43+E44&lt;-100,-100,IF(E42+E43+E44&gt;50,50,E42+E43+E44))</f>
        <v>-62.55509477578539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1.7729359486637755</v>
      </c>
      <c r="L41" s="39">
        <f>IF(N20/E27*100&gt;30,30,N20/E27*100)</f>
        <v>5.2448033772312215</v>
      </c>
      <c r="M41" s="39">
        <f>IF((L20-M20)*50/E27&lt;-50,-50,IF((L20-M20)*50/E27&gt;30,30,(L20-M20)*50/E27))</f>
        <v>30</v>
      </c>
      <c r="N41" s="39">
        <f>(K20-50)/2</f>
        <v>9.299999999999997</v>
      </c>
      <c r="O41" s="39">
        <f>IF(O20=0,-30,((O20/G3)*100-1)*30)</f>
        <v>18.076923076923073</v>
      </c>
      <c r="P41" s="76">
        <f>G3*G4/1000</f>
        <v>312</v>
      </c>
    </row>
    <row r="42" spans="2:14" ht="13.5" customHeight="1">
      <c r="B42" s="29" t="s">
        <v>326</v>
      </c>
      <c r="C42" s="12"/>
      <c r="D42" s="39">
        <f>IF(OR(E26=0,E30=0),0,(E26-E30)/E30*100)</f>
        <v>5.285920230658337</v>
      </c>
      <c r="E42" s="39">
        <f>IF(E18=0,(E19-E27)/E27*50,(E18-E27)/E27*50)</f>
        <v>1.8515119533795255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47.81111111111111</v>
      </c>
      <c r="C43" s="12"/>
      <c r="D43" s="39">
        <f>IF(OR(F26=0,F30=0),0,IF(F30&lt;0,(F26-F30)/(-F30)*50,(F26-F30)/(F30)*50))</f>
        <v>-22.659323367427223</v>
      </c>
      <c r="E43" s="39">
        <f>IF(F18=0,(F19-F27)/F27*50,(F18-F27)/F27*50)</f>
        <v>-30.92643051771117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-57.56410256410256</v>
      </c>
      <c r="E44" s="39">
        <f>IF(G18=0,(G19-G27)/G27*50,(G18-G27)/G27*50)</f>
        <v>-33.480176211453745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4996</v>
      </c>
      <c r="C2" s="99"/>
      <c r="D2" s="99" t="s">
        <v>77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331</v>
      </c>
      <c r="H3" s="15" t="s">
        <v>332</v>
      </c>
      <c r="I3" s="21" t="s">
        <v>8</v>
      </c>
      <c r="J3" s="58">
        <f>116800/1447</f>
        <v>80.71872840359364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39100</v>
      </c>
      <c r="F19" s="87">
        <v>700</v>
      </c>
      <c r="G19" s="86">
        <v>400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86.977</v>
      </c>
      <c r="K20" s="59">
        <v>70.3</v>
      </c>
      <c r="L20" s="41">
        <v>27203</v>
      </c>
      <c r="M20" s="41">
        <v>42</v>
      </c>
      <c r="N20" s="41"/>
      <c r="O20" s="60">
        <v>3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81.401873</v>
      </c>
      <c r="K21" s="59">
        <v>66.3</v>
      </c>
      <c r="L21" s="41">
        <v>27934</v>
      </c>
      <c r="M21" s="41">
        <v>25</v>
      </c>
      <c r="N21" s="41">
        <v>1204</v>
      </c>
      <c r="O21" s="60">
        <v>3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81.43192</v>
      </c>
      <c r="K22" s="64">
        <v>72.1</v>
      </c>
      <c r="L22" s="41">
        <v>27401</v>
      </c>
      <c r="M22" s="41">
        <v>25</v>
      </c>
      <c r="N22" s="41">
        <v>0</v>
      </c>
      <c r="O22" s="64">
        <v>3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26200</v>
      </c>
      <c r="F24" s="87">
        <v>1700</v>
      </c>
      <c r="G24" s="86">
        <v>1000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26057</v>
      </c>
      <c r="F25" s="83">
        <v>1929</v>
      </c>
      <c r="G25" s="66">
        <v>1168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8342</v>
      </c>
      <c r="F26" s="83">
        <v>341</v>
      </c>
      <c r="G26" s="66">
        <v>203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39512</v>
      </c>
      <c r="F27" s="65">
        <v>772</v>
      </c>
      <c r="G27" s="65">
        <v>468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38960.73538598585</v>
      </c>
      <c r="L27" s="41">
        <f>IF(OR(F38&lt;=0,F35&lt;=0,F26&lt;=0),IF(OR(F34&lt;=0,F31&lt;=0),IF(OR(F30&lt;=0,F27&lt;=0),0,F27/F30*F26),(F31/F34+F27/F30)/2*F26),(F35/F38+F31/F34+F27/F30)/3*F26)</f>
        <v>867.5748307818737</v>
      </c>
      <c r="M27" s="41">
        <f>IF(OR(G38&lt;=0,G35&lt;=0,G26&lt;=0),IF(OR(G34&lt;=0,G31&lt;=0),IF(OR(G30&lt;=0,G27&lt;=0),0,G27/G30*G26),(G31/G34+G27/G30)/2*G26),(G35/G38+G31/G34+G27/G30)/3*G26)</f>
        <v>673.1528915662651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32589</v>
      </c>
      <c r="F28" s="65">
        <v>1508</v>
      </c>
      <c r="G28" s="65">
        <v>689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38400.79777899403</v>
      </c>
      <c r="L28" s="41">
        <f>IF(OR(F37&lt;=0,F35&lt;=0,F25&lt;=0),IF(OR(F33&lt;=0,F31&lt;=0),IF(OR(F29&lt;=0,F27&lt;=0),0,F27/F29*F25),(F31/F33+F27/F29)/2*F25),(F35/F37+F31/F33+F27/F29)/3*F25)</f>
        <v>734.520015910381</v>
      </c>
      <c r="M28" s="41">
        <f>IF(OR(G37&lt;=0,G35&lt;=0,G25&lt;=0),IF(OR(G33&lt;=0,G31&lt;=0),IF(OR(G29&lt;=0,G27&lt;=0),0,G27/G29*G25),(G31/G33+G27/G29)/2*G25),(G35/G37+G31/G33+G27/G29)/3*G25)</f>
        <v>369.46529100139895</v>
      </c>
    </row>
    <row r="29" spans="1:13" ht="13.5" customHeight="1">
      <c r="A29" s="8"/>
      <c r="B29" s="102"/>
      <c r="C29" s="25" t="s">
        <v>18</v>
      </c>
      <c r="D29" s="81" t="s">
        <v>246</v>
      </c>
      <c r="E29" s="65">
        <v>26910</v>
      </c>
      <c r="F29" s="65">
        <v>2089</v>
      </c>
      <c r="G29" s="65">
        <v>1051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247</v>
      </c>
      <c r="E30" s="65">
        <v>8888</v>
      </c>
      <c r="F30" s="65">
        <v>694</v>
      </c>
      <c r="G30" s="65">
        <v>225</v>
      </c>
      <c r="H30" s="15"/>
      <c r="I30" s="105" t="s">
        <v>103</v>
      </c>
      <c r="J30" s="105"/>
      <c r="K30" s="41">
        <f>IF(E18=0,E19,E18)</f>
        <v>39100</v>
      </c>
      <c r="L30" s="41">
        <f>IF(F18=0,F19,F18)</f>
        <v>700</v>
      </c>
      <c r="M30" s="41">
        <f>IF(G18=0,G19,G18)</f>
        <v>400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39101</v>
      </c>
      <c r="F31" s="65">
        <v>838</v>
      </c>
      <c r="G31" s="65">
        <v>47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31801</v>
      </c>
      <c r="F32" s="65">
        <v>1399</v>
      </c>
      <c r="G32" s="65">
        <v>669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248</v>
      </c>
      <c r="E33" s="65">
        <v>26867</v>
      </c>
      <c r="F33" s="65">
        <v>2278</v>
      </c>
      <c r="G33" s="65">
        <v>1132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249</v>
      </c>
      <c r="E34" s="65">
        <v>8258</v>
      </c>
      <c r="F34" s="65">
        <v>346</v>
      </c>
      <c r="G34" s="65">
        <v>20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38835</v>
      </c>
      <c r="F35" s="65">
        <v>709</v>
      </c>
      <c r="G35" s="65">
        <v>458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31187</v>
      </c>
      <c r="F36" s="65">
        <v>970</v>
      </c>
      <c r="G36" s="65">
        <v>516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250</v>
      </c>
      <c r="E37" s="65">
        <v>25933</v>
      </c>
      <c r="F37" s="65">
        <v>1751</v>
      </c>
      <c r="G37" s="65">
        <v>991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251</v>
      </c>
      <c r="E38" s="65">
        <v>8039</v>
      </c>
      <c r="F38" s="65">
        <v>173</v>
      </c>
      <c r="G38" s="65">
        <v>83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-67.02559803553092</v>
      </c>
      <c r="C41" s="39">
        <f>IF(B43&lt;=0,-100,IF((30-B43)*5&lt;-100,-100,(30-B43)*5))</f>
        <v>-100</v>
      </c>
      <c r="D41" s="39">
        <f>IF(D42+D43+D44&lt;-20,-20,IF((D42+D43+D44)&gt;20,20,D42+D43+D44))</f>
        <v>-20</v>
      </c>
      <c r="E41" s="39">
        <f>IF(E42+E43+E44&lt;-100,-100,IF(E42+E43+E44&gt;50,50,E42+E43+E44))</f>
        <v>-12.449530299502028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23.93926154026768</v>
      </c>
      <c r="J41" s="39">
        <f>IF(J42+J43+J44&gt;20,20,IF(J42+J43+J44&lt;-50,-50,J42+J43+J44))</f>
        <v>0</v>
      </c>
      <c r="K41" s="39">
        <f>POWER(LOG(J3*G3/1000),4)</f>
        <v>4.14433839741942</v>
      </c>
      <c r="L41" s="39">
        <f>IF(N20/E27*100&gt;30,30,N20/E27*100)</f>
        <v>0</v>
      </c>
      <c r="M41" s="39">
        <f>IF((L20-M20)*50/E27&lt;-50,-50,IF((L20-M20)*50/E27&gt;30,30,(L20-M20)*50/E27))</f>
        <v>30</v>
      </c>
      <c r="N41" s="39">
        <f>(K20-50)/2</f>
        <v>10.149999999999999</v>
      </c>
      <c r="O41" s="39">
        <f>IF(O20=0,-30,((O20/G3)*100-1)*30)</f>
        <v>-2.8096676737160085</v>
      </c>
      <c r="P41" s="76">
        <f>G3*G4/1000</f>
        <v>331</v>
      </c>
    </row>
    <row r="42" spans="2:14" ht="13.5" customHeight="1">
      <c r="B42" s="29" t="s">
        <v>326</v>
      </c>
      <c r="C42" s="12"/>
      <c r="D42" s="39">
        <f>IF(OR(E26=0,E30=0),0,(E26-E30)/E30*100)</f>
        <v>-6.143114311431143</v>
      </c>
      <c r="E42" s="39">
        <f>IF(E18=0,(E19-E27)/E27*50,(E18-E27)/E27*50)</f>
        <v>-0.5213605993116015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71.97346750000001</v>
      </c>
      <c r="C43" s="12"/>
      <c r="D43" s="39">
        <f>IF(OR(F26=0,F30=0),0,IF(F30&lt;0,(F26-F30)/(-F30)*50,(F26-F30)/(F30)*50))</f>
        <v>-25.43227665706052</v>
      </c>
      <c r="E43" s="39">
        <f>IF(F18=0,(F19-F27)/F27*50,(F18-F27)/F27*50)</f>
        <v>-4.66321243523316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-9.777777777777779</v>
      </c>
      <c r="E44" s="39">
        <f>IF(G18=0,(G19-G27)/G27*50,(G18-G27)/G27*50)</f>
        <v>-7.264957264957266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5218</v>
      </c>
      <c r="C2" s="99"/>
      <c r="D2" s="99" t="s">
        <v>76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1935</v>
      </c>
      <c r="H3" s="15" t="s">
        <v>332</v>
      </c>
      <c r="I3" s="21" t="s">
        <v>8</v>
      </c>
      <c r="J3" s="58">
        <f>189200/7515</f>
        <v>25.17631403858949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29600</v>
      </c>
      <c r="F19" s="87">
        <v>7400</v>
      </c>
      <c r="G19" s="86">
        <v>4700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636/25</f>
        <v>25.44</v>
      </c>
      <c r="K20" s="59">
        <v>71.5</v>
      </c>
      <c r="L20" s="41">
        <v>22473</v>
      </c>
      <c r="M20" s="41">
        <v>4003</v>
      </c>
      <c r="N20" s="41">
        <v>4600</v>
      </c>
      <c r="O20" s="60">
        <v>40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12.724508</v>
      </c>
      <c r="K21" s="59">
        <v>48.3</v>
      </c>
      <c r="L21" s="41">
        <v>15980</v>
      </c>
      <c r="M21" s="41">
        <v>11601</v>
      </c>
      <c r="N21" s="41">
        <v>3390</v>
      </c>
      <c r="O21" s="60">
        <v>40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12.72492</v>
      </c>
      <c r="K22" s="64">
        <v>68.8</v>
      </c>
      <c r="L22" s="41">
        <v>17871</v>
      </c>
      <c r="M22" s="41">
        <v>7295</v>
      </c>
      <c r="N22" s="41">
        <v>834</v>
      </c>
      <c r="O22" s="64">
        <v>35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14000</v>
      </c>
      <c r="F24" s="87">
        <v>3300</v>
      </c>
      <c r="G24" s="86">
        <v>2000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14864</v>
      </c>
      <c r="F25" s="83">
        <v>3555</v>
      </c>
      <c r="G25" s="66">
        <v>1892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7726</v>
      </c>
      <c r="F26" s="83">
        <v>2003</v>
      </c>
      <c r="G26" s="66">
        <v>1195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28248</v>
      </c>
      <c r="F27" s="65">
        <v>7403</v>
      </c>
      <c r="G27" s="65">
        <v>4790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32490.358580574302</v>
      </c>
      <c r="L27" s="41">
        <f>IF(OR(F38&lt;=0,F35&lt;=0,F26&lt;=0),IF(OR(F34&lt;=0,F31&lt;=0),IF(OR(F30&lt;=0,F27&lt;=0),0,F27/F30*F26),(F31/F34+F27/F30)/2*F26),(F35/F38+F31/F34+F27/F30)/3*F26)</f>
        <v>8368.704906578656</v>
      </c>
      <c r="M27" s="41">
        <f>IF(OR(G38&lt;=0,G35&lt;=0,G26&lt;=0),IF(OR(G34&lt;=0,G31&lt;=0),IF(OR(G30&lt;=0,G27&lt;=0),0,G27/G30*G26),(G31/G34+G27/G30)/2*G26),(G35/G38+G31/G34+G27/G30)/3*G26)</f>
        <v>5577.307370802199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21140</v>
      </c>
      <c r="F28" s="65">
        <v>5893</v>
      </c>
      <c r="G28" s="65">
        <v>3671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31229.851425649296</v>
      </c>
      <c r="L28" s="41">
        <f>IF(OR(F37&lt;=0,F35&lt;=0,F25&lt;=0),IF(OR(F33&lt;=0,F31&lt;=0),IF(OR(F29&lt;=0,F27&lt;=0),0,F27/F29*F25),(F31/F33+F27/F29)/2*F25),(F35/F37+F31/F33+F27/F29)/3*F25)</f>
        <v>7453.018275858327</v>
      </c>
      <c r="M28" s="41">
        <f>IF(OR(G37&lt;=0,G35&lt;=0,G25&lt;=0),IF(OR(G33&lt;=0,G31&lt;=0),IF(OR(G29&lt;=0,G27&lt;=0),0,G27/G29*G25),(G31/G33+G27/G29)/2*G25),(G35/G37+G31/G33+G27/G29)/3*G25)</f>
        <v>4169.6615113196995</v>
      </c>
    </row>
    <row r="29" spans="1:13" ht="13.5" customHeight="1">
      <c r="A29" s="8"/>
      <c r="B29" s="102"/>
      <c r="C29" s="25" t="s">
        <v>18</v>
      </c>
      <c r="D29" s="81" t="s">
        <v>240</v>
      </c>
      <c r="E29" s="65">
        <v>13331</v>
      </c>
      <c r="F29" s="65">
        <v>3771</v>
      </c>
      <c r="G29" s="65">
        <v>2322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241</v>
      </c>
      <c r="E30" s="65">
        <v>6882</v>
      </c>
      <c r="F30" s="65">
        <v>2028</v>
      </c>
      <c r="G30" s="65">
        <v>1184</v>
      </c>
      <c r="H30" s="15"/>
      <c r="I30" s="105" t="s">
        <v>103</v>
      </c>
      <c r="J30" s="105"/>
      <c r="K30" s="41">
        <f>IF(E18=0,E19,E18)</f>
        <v>29600</v>
      </c>
      <c r="L30" s="41">
        <f>IF(F18=0,F19,F18)</f>
        <v>7400</v>
      </c>
      <c r="M30" s="41">
        <f>IF(G18=0,G19,G18)</f>
        <v>4700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27761</v>
      </c>
      <c r="F31" s="65">
        <v>7821</v>
      </c>
      <c r="G31" s="65">
        <v>5146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19568</v>
      </c>
      <c r="F32" s="65">
        <v>5618</v>
      </c>
      <c r="G32" s="65">
        <v>3625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242</v>
      </c>
      <c r="E33" s="65">
        <v>12946</v>
      </c>
      <c r="F33" s="65">
        <v>3396</v>
      </c>
      <c r="G33" s="65">
        <v>2159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243</v>
      </c>
      <c r="E34" s="65">
        <v>6447</v>
      </c>
      <c r="F34" s="65">
        <v>1662</v>
      </c>
      <c r="G34" s="65">
        <v>973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24716</v>
      </c>
      <c r="F35" s="65">
        <v>5552</v>
      </c>
      <c r="G35" s="65">
        <v>3514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/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244</v>
      </c>
      <c r="E37" s="65">
        <v>12117</v>
      </c>
      <c r="F37" s="65">
        <v>2744</v>
      </c>
      <c r="G37" s="65">
        <v>1623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245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221.89434356091607</v>
      </c>
      <c r="C41" s="39">
        <f>IF(B43&lt;=0,-100,IF((30-B43)*5&lt;-100,-100,(30-B43)*5))</f>
        <v>97.63148936170212</v>
      </c>
      <c r="D41" s="39">
        <f>IF(D42+D43+D44&lt;-20,-20,IF((D42+D43+D44)&gt;20,20,D42+D43+D44))</f>
        <v>12.576560025381365</v>
      </c>
      <c r="E41" s="39">
        <f>IF(E42+E43+E44&lt;-100,-100,IF(E42+E43+E44&gt;50,50,E42+E43+E44))</f>
        <v>1.4333705178388527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13.090606845657513</v>
      </c>
      <c r="J41" s="39">
        <f>IF(J42+J43+J44&gt;20,20,IF(J42+J43+J44&lt;-50,-50,J42+J43+J44))</f>
        <v>0</v>
      </c>
      <c r="K41" s="39">
        <f>POWER(LOG(J3*G3/1000),4)</f>
        <v>8.112474220121937</v>
      </c>
      <c r="L41" s="39">
        <f>IF(N20/E27*100&gt;30,30,N20/E27*100)</f>
        <v>16.284338714245255</v>
      </c>
      <c r="M41" s="39">
        <f>IF((L20-M20)*50/E27&lt;-50,-50,IF((L20-M20)*50/E27&gt;30,30,(L20-M20)*50/E27))</f>
        <v>30</v>
      </c>
      <c r="N41" s="39">
        <f>(K20-50)/2</f>
        <v>10.75</v>
      </c>
      <c r="O41" s="39">
        <f>IF(O20=0,-30,((O20/G3)*100-1)*30)</f>
        <v>32.015503875969</v>
      </c>
      <c r="P41" s="76">
        <f>G3*G4/1000</f>
        <v>193.5</v>
      </c>
    </row>
    <row r="42" spans="2:14" ht="13.5" customHeight="1">
      <c r="B42" s="29" t="s">
        <v>326</v>
      </c>
      <c r="C42" s="12"/>
      <c r="D42" s="39">
        <f>IF(OR(E26=0,E30=0),0,(E26-E30)/E30*100)</f>
        <v>12.263876780005813</v>
      </c>
      <c r="E42" s="39">
        <f>IF(E18=0,(E19-E27)/E27*50,(E18-E27)/E27*50)</f>
        <v>2.393089776267346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10.473702127659575</v>
      </c>
      <c r="C43" s="12"/>
      <c r="D43" s="39">
        <f>IF(OR(F26=0,F30=0),0,IF(F30&lt;0,(F26-F30)/(-F30)*50,(F26-F30)/(F30)*50))</f>
        <v>-0.616370808678501</v>
      </c>
      <c r="E43" s="39">
        <f>IF(F18=0,(F19-F27)/F27*50,(F18-F27)/F27*50)</f>
        <v>-0.020262055923274347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0.9290540540540541</v>
      </c>
      <c r="E44" s="39">
        <f>IF(G18=0,(G19-G27)/G27*50,(G18-G27)/G27*50)</f>
        <v>-0.9394572025052191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2:X50"/>
  <sheetViews>
    <sheetView workbookViewId="0" topLeftCell="B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5343</v>
      </c>
      <c r="C2" s="99"/>
      <c r="D2" s="99" t="s">
        <v>75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312</v>
      </c>
      <c r="H3" s="15" t="s">
        <v>332</v>
      </c>
      <c r="I3" s="21" t="s">
        <v>8</v>
      </c>
      <c r="J3" s="58">
        <f>34700/1844</f>
        <v>18.817787418655097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22600</v>
      </c>
      <c r="F18" s="87">
        <v>-210</v>
      </c>
      <c r="G18" s="86">
        <v>-830</v>
      </c>
      <c r="H18" s="15" t="s">
        <v>340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23400</v>
      </c>
      <c r="F19" s="87">
        <v>300</v>
      </c>
      <c r="G19" s="86">
        <v>160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226/11.99</f>
        <v>18.84904086738949</v>
      </c>
      <c r="K20" s="59">
        <v>51.6</v>
      </c>
      <c r="L20" s="41">
        <v>4657</v>
      </c>
      <c r="M20" s="41">
        <v>2376</v>
      </c>
      <c r="N20" s="41">
        <v>840</v>
      </c>
      <c r="O20" s="60">
        <v>3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16.49879</v>
      </c>
      <c r="K21" s="59">
        <v>54</v>
      </c>
      <c r="L21" s="41">
        <v>5748</v>
      </c>
      <c r="M21" s="41">
        <v>2531</v>
      </c>
      <c r="N21" s="41">
        <v>514</v>
      </c>
      <c r="O21" s="60">
        <v>3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16.67086</v>
      </c>
      <c r="K22" s="64">
        <v>55.3</v>
      </c>
      <c r="L22" s="41">
        <v>5684</v>
      </c>
      <c r="M22" s="41">
        <v>2280</v>
      </c>
      <c r="N22" s="41">
        <v>301</v>
      </c>
      <c r="O22" s="64">
        <v>6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11500</v>
      </c>
      <c r="F24" s="87">
        <v>60</v>
      </c>
      <c r="G24" s="86">
        <v>10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11115</v>
      </c>
      <c r="F25" s="83">
        <v>-154</v>
      </c>
      <c r="G25" s="66">
        <v>-347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5167</v>
      </c>
      <c r="F26" s="83">
        <v>-234</v>
      </c>
      <c r="G26" s="66">
        <v>-226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22359</v>
      </c>
      <c r="F27" s="65">
        <v>-131</v>
      </c>
      <c r="G27" s="65">
        <v>-643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21856.61243911618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16531</v>
      </c>
      <c r="F28" s="65">
        <v>-266</v>
      </c>
      <c r="G28" s="65">
        <v>-254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22128.030876043555</v>
      </c>
      <c r="L28" s="41">
        <f>IF(OR(F37&lt;=0,F35&lt;=0,F25&lt;=0),IF(OR(F33&lt;=0,F31&lt;=0),IF(OR(F29&lt;=0,F27&lt;=0),0,F27/F29*F25),(F31/F33+F27/F29)/2*F25),(F35/F37+F31/F33+F27/F29)/3*F25)</f>
        <v>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234</v>
      </c>
      <c r="E29" s="65">
        <v>11332</v>
      </c>
      <c r="F29" s="65">
        <v>-102</v>
      </c>
      <c r="G29" s="65">
        <v>-171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235</v>
      </c>
      <c r="E30" s="65">
        <v>5374</v>
      </c>
      <c r="F30" s="65">
        <v>-179</v>
      </c>
      <c r="G30" s="65">
        <v>-123</v>
      </c>
      <c r="H30" s="15"/>
      <c r="I30" s="105" t="s">
        <v>103</v>
      </c>
      <c r="J30" s="105"/>
      <c r="K30" s="41">
        <f>IF(E18=0,E19,E18)</f>
        <v>22600</v>
      </c>
      <c r="L30" s="41">
        <f>IF(F18=0,F19,F18)</f>
        <v>-210</v>
      </c>
      <c r="M30" s="41">
        <f>IF(G18=0,G19,G18)</f>
        <v>-830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22660</v>
      </c>
      <c r="F31" s="65">
        <v>-97</v>
      </c>
      <c r="G31" s="65">
        <v>-943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16591</v>
      </c>
      <c r="F32" s="65">
        <v>-195</v>
      </c>
      <c r="G32" s="65">
        <v>-486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236</v>
      </c>
      <c r="E33" s="65">
        <v>11122</v>
      </c>
      <c r="F33" s="65">
        <v>-18</v>
      </c>
      <c r="G33" s="65">
        <v>-295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237</v>
      </c>
      <c r="E34" s="65">
        <v>5142</v>
      </c>
      <c r="F34" s="65">
        <v>-148</v>
      </c>
      <c r="G34" s="65">
        <v>-31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22918</v>
      </c>
      <c r="F35" s="65">
        <v>216</v>
      </c>
      <c r="G35" s="65">
        <v>72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17051</v>
      </c>
      <c r="F36" s="65">
        <v>212</v>
      </c>
      <c r="G36" s="65">
        <v>104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238</v>
      </c>
      <c r="E37" s="65">
        <v>11681</v>
      </c>
      <c r="F37" s="65">
        <v>205</v>
      </c>
      <c r="G37" s="65">
        <v>69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239</v>
      </c>
      <c r="E38" s="65">
        <v>5559</v>
      </c>
      <c r="F38" s="65">
        <v>21</v>
      </c>
      <c r="G38" s="65">
        <v>4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-165.9140932878809</v>
      </c>
      <c r="C41" s="39">
        <f>IF(B43&lt;=0,-100,IF((30-B43)*5&lt;-100,-100,(30-B43)*5))</f>
        <v>-100</v>
      </c>
      <c r="D41" s="39">
        <f>IF(D42+D43+D44&lt;-20,-20,IF((D42+D43+D44)&gt;20,20,D42+D43+D44))</f>
        <v>-20</v>
      </c>
      <c r="E41" s="39">
        <f>IF(E42+E43+E44&lt;-100,-100,IF(E42+E43+E44&gt;50,50,E42+E43+E44))</f>
        <v>45.23281768768505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0.3492045105401451</v>
      </c>
      <c r="L41" s="39">
        <f>IF(N20/E27*100&gt;30,30,N20/E27*100)</f>
        <v>3.7568764256004292</v>
      </c>
      <c r="M41" s="39">
        <f>IF((L20-M20)*50/E27&lt;-50,-50,IF((L20-M20)*50/E27&gt;30,30,(L20-M20)*50/E27))</f>
        <v>5.100854242139631</v>
      </c>
      <c r="N41" s="39">
        <f>(K20-50)/2</f>
        <v>0.8000000000000007</v>
      </c>
      <c r="O41" s="39">
        <f>IF(O20=0,-30,((O20/G3)*100-1)*30)</f>
        <v>-1.153846153846153</v>
      </c>
      <c r="P41" s="76">
        <f>G3*G4/1000</f>
        <v>312</v>
      </c>
    </row>
    <row r="42" spans="2:14" ht="13.5" customHeight="1">
      <c r="B42" s="29" t="s">
        <v>326</v>
      </c>
      <c r="C42" s="12"/>
      <c r="D42" s="39">
        <f>IF(OR(E26=0,E30=0),0,(E26-E30)/E30*100)</f>
        <v>-3.85187941942687</v>
      </c>
      <c r="E42" s="39">
        <f>IF(E18=0,(E19-E27)/E27*50,(E18-E27)/E27*50)</f>
        <v>0.5389328681962521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-3.418803418803419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0</v>
      </c>
      <c r="C43" s="12"/>
      <c r="D43" s="39">
        <f>IF(OR(F26=0,F30=0),0,IF(F30&lt;0,(F26-F30)/(-F30)*50,(F26-F30)/(F30)*50))</f>
        <v>-15.363128491620111</v>
      </c>
      <c r="E43" s="39">
        <f>IF(F18=0,(F19-F27)/F27*50,(F18-F27)/F27*50)</f>
        <v>30.15267175572519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-170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-83.73983739837398</v>
      </c>
      <c r="E44" s="39">
        <f>IF(G18=0,(G19-G27)/G27*50,(G18-G27)/G27*50)</f>
        <v>14.541213063763609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-618.75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6309</v>
      </c>
      <c r="C2" s="99"/>
      <c r="D2" s="99" t="s">
        <v>74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1171</v>
      </c>
      <c r="H3" s="15" t="s">
        <v>331</v>
      </c>
      <c r="I3" s="21" t="s">
        <v>8</v>
      </c>
      <c r="J3" s="58">
        <f>86400/8661</f>
        <v>9.975753377208175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49570</v>
      </c>
      <c r="F18" s="87">
        <v>2650</v>
      </c>
      <c r="G18" s="86">
        <v>1450</v>
      </c>
      <c r="H18" s="15" t="s">
        <v>333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50130</v>
      </c>
      <c r="F19" s="87">
        <v>2600</v>
      </c>
      <c r="G19" s="86">
        <v>1460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15/1.6</f>
        <v>9.375</v>
      </c>
      <c r="K20" s="59">
        <v>54</v>
      </c>
      <c r="L20" s="41">
        <v>12839</v>
      </c>
      <c r="M20" s="41">
        <v>2224</v>
      </c>
      <c r="N20" s="41">
        <v>907</v>
      </c>
      <c r="O20" s="60">
        <v>30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9.979192</v>
      </c>
      <c r="K21" s="59">
        <v>47.1</v>
      </c>
      <c r="L21" s="41">
        <v>11688</v>
      </c>
      <c r="M21" s="41">
        <v>3867</v>
      </c>
      <c r="N21" s="41">
        <v>404</v>
      </c>
      <c r="O21" s="60">
        <v>30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9.979285</v>
      </c>
      <c r="K22" s="64">
        <v>52.7</v>
      </c>
      <c r="L22" s="41">
        <v>11863</v>
      </c>
      <c r="M22" s="41">
        <v>2770</v>
      </c>
      <c r="N22" s="41">
        <v>269</v>
      </c>
      <c r="O22" s="64">
        <v>25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25220</v>
      </c>
      <c r="F24" s="87">
        <v>1520</v>
      </c>
      <c r="G24" s="86">
        <v>830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24022</v>
      </c>
      <c r="F25" s="83">
        <v>1652</v>
      </c>
      <c r="G25" s="66">
        <v>864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10733</v>
      </c>
      <c r="F26" s="83">
        <v>384</v>
      </c>
      <c r="G26" s="66">
        <v>15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50795</v>
      </c>
      <c r="F27" s="65">
        <v>2554</v>
      </c>
      <c r="G27" s="65">
        <v>1357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50239.64897618172</v>
      </c>
      <c r="L27" s="41">
        <f>IF(OR(F38&lt;=0,F35&lt;=0,F26&lt;=0),IF(OR(F34&lt;=0,F31&lt;=0),IF(OR(F30&lt;=0,F27&lt;=0),0,F27/F30*F26),(F31/F34+F27/F30)/2*F26),(F35/F38+F31/F34+F27/F30)/3*F26)</f>
        <v>10070.214355948869</v>
      </c>
      <c r="M27" s="41">
        <f>IF(OR(G38&lt;=0,G35&lt;=0,G26&lt;=0),IF(OR(G34&lt;=0,G31&lt;=0),IF(OR(G30&lt;=0,G27&lt;=0),0,G27/G30*G26),(G31/G34+G27/G30)/2*G26),(G35/G38+G31/G34+G27/G30)/3*G26)</f>
        <v>74.64579667366746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35067</v>
      </c>
      <c r="F28" s="65">
        <v>1723</v>
      </c>
      <c r="G28" s="65">
        <v>908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46878.78946349364</v>
      </c>
      <c r="L28" s="41">
        <f>IF(OR(F37&lt;=0,F35&lt;=0,F25&lt;=0),IF(OR(F33&lt;=0,F31&lt;=0),IF(OR(F29&lt;=0,F27&lt;=0),0,F27/F29*F25),(F31/F33+F27/F29)/2*F25),(F35/F37+F31/F33+F27/F29)/3*F25)</f>
        <v>2462.643239828503</v>
      </c>
      <c r="M28" s="41">
        <f>IF(OR(G37&lt;=0,G35&lt;=0,G25&lt;=0),IF(OR(G33&lt;=0,G31&lt;=0),IF(OR(G29&lt;=0,G27&lt;=0),0,G27/G29*G25),(G31/G33+G27/G29)/2*G25),(G35/G37+G31/G33+G27/G29)/3*G25)</f>
        <v>1290.691566168018</v>
      </c>
    </row>
    <row r="29" spans="1:13" ht="13.5" customHeight="1">
      <c r="A29" s="8"/>
      <c r="B29" s="102"/>
      <c r="C29" s="25" t="s">
        <v>18</v>
      </c>
      <c r="D29" s="81" t="s">
        <v>228</v>
      </c>
      <c r="E29" s="65">
        <v>24127</v>
      </c>
      <c r="F29" s="65">
        <v>1325</v>
      </c>
      <c r="G29" s="65">
        <v>673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229</v>
      </c>
      <c r="E30" s="65">
        <v>10313</v>
      </c>
      <c r="F30" s="65">
        <v>226</v>
      </c>
      <c r="G30" s="65">
        <v>-223</v>
      </c>
      <c r="H30" s="15"/>
      <c r="I30" s="105" t="s">
        <v>103</v>
      </c>
      <c r="J30" s="105"/>
      <c r="K30" s="41">
        <f>IF(E18=0,E19,E18)</f>
        <v>49570</v>
      </c>
      <c r="L30" s="41">
        <f>IF(F18=0,F19,F18)</f>
        <v>2650</v>
      </c>
      <c r="M30" s="41">
        <f>IF(G18=0,G19,G18)</f>
        <v>1450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47331</v>
      </c>
      <c r="F31" s="65">
        <v>2222</v>
      </c>
      <c r="G31" s="65">
        <v>1267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34775</v>
      </c>
      <c r="F32" s="65">
        <v>1533</v>
      </c>
      <c r="G32" s="65">
        <v>952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230</v>
      </c>
      <c r="E33" s="65">
        <v>25095</v>
      </c>
      <c r="F33" s="65">
        <v>1614</v>
      </c>
      <c r="G33" s="65">
        <v>987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231</v>
      </c>
      <c r="E34" s="65">
        <v>10229</v>
      </c>
      <c r="F34" s="65">
        <v>54</v>
      </c>
      <c r="G34" s="65">
        <v>79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46935</v>
      </c>
      <c r="F35" s="65">
        <v>1955</v>
      </c>
      <c r="G35" s="65">
        <v>1139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34890</v>
      </c>
      <c r="F36" s="65">
        <v>1524</v>
      </c>
      <c r="G36" s="65">
        <v>876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232</v>
      </c>
      <c r="E37" s="65">
        <v>25192</v>
      </c>
      <c r="F37" s="65">
        <v>1674</v>
      </c>
      <c r="G37" s="65">
        <v>964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233</v>
      </c>
      <c r="E38" s="65">
        <v>10453</v>
      </c>
      <c r="F38" s="65">
        <v>-86</v>
      </c>
      <c r="G38" s="65">
        <v>-116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228.75616025746237</v>
      </c>
      <c r="C41" s="39">
        <f>IF(B43&lt;=0,-100,IF((30-B43)*5&lt;-100,-100,(30-B43)*5))</f>
        <v>112.14439655172413</v>
      </c>
      <c r="D41" s="39">
        <f>IF(D42+D43+D44&lt;-20,-20,IF((D42+D43+D44)&gt;20,20,D42+D43+D44))</f>
        <v>20</v>
      </c>
      <c r="E41" s="39">
        <f>IF(E42+E43+E44&lt;-100,-100,IF(E42+E43+E44&gt;50,50,E42+E43+E44))</f>
        <v>4.10025400218041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0.12104986466167944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1.2986010932087835</v>
      </c>
      <c r="L41" s="39">
        <f>IF(N20/E27*100&gt;30,30,N20/E27*100)</f>
        <v>1.7856088197657252</v>
      </c>
      <c r="M41" s="39">
        <f>IF((L20-M20)*50/E27&lt;-50,-50,IF((L20-M20)*50/E27&gt;30,30,(L20-M20)*50/E27))</f>
        <v>10.448863077074515</v>
      </c>
      <c r="N41" s="39">
        <f>(K20-50)/2</f>
        <v>2</v>
      </c>
      <c r="O41" s="39">
        <f>IF(O20=0,-30,((O20/G3)*100-1)*30)</f>
        <v>46.85738684884714</v>
      </c>
      <c r="P41" s="76">
        <f>G3*G4/1000</f>
        <v>117.1</v>
      </c>
    </row>
    <row r="42" spans="2:14" ht="13.5" customHeight="1">
      <c r="B42" s="29" t="s">
        <v>326</v>
      </c>
      <c r="C42" s="12"/>
      <c r="D42" s="39">
        <f>IF(OR(E26=0,E30=0),0,(E26-E30)/E30*100)</f>
        <v>4.072529816736158</v>
      </c>
      <c r="E42" s="39">
        <f>IF(E18=0,(E19-E27)/E27*50,(E18-E27)/E27*50)</f>
        <v>-1.2058273452111428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-1.1170955515659287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7.571120689655173</v>
      </c>
      <c r="C43" s="12"/>
      <c r="D43" s="39">
        <f>IF(OR(F26=0,F30=0),0,IF(F30&lt;0,(F26-F30)/(-F30)*50,(F26-F30)/(F30)*50))</f>
        <v>34.95575221238938</v>
      </c>
      <c r="E43" s="39">
        <f>IF(F18=0,(F19-F27)/F27*50,(F18-F27)/F27*50)</f>
        <v>1.8794048551292093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1.9230769230769231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106.72645739910314</v>
      </c>
      <c r="E44" s="39">
        <f>IF(G18=0,(G19-G27)/G27*50,(G18-G27)/G27*50)</f>
        <v>3.4266764922623434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-0.684931506849315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25390625" style="0" customWidth="1"/>
    <col min="4" max="4" width="7.125" style="0" customWidth="1"/>
    <col min="5" max="5" width="8.875" style="0" customWidth="1"/>
    <col min="6" max="6" width="7.7539062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1840</v>
      </c>
      <c r="C2" s="99"/>
      <c r="D2" s="100" t="s">
        <v>88</v>
      </c>
      <c r="E2" s="100"/>
      <c r="F2" s="100"/>
      <c r="G2" s="100"/>
      <c r="H2" s="100"/>
      <c r="I2" s="100"/>
      <c r="J2" s="100"/>
      <c r="K2" s="100"/>
      <c r="L2" s="100"/>
    </row>
    <row r="3" spans="2:15" ht="13.5" customHeight="1">
      <c r="B3" s="24" t="s">
        <v>0</v>
      </c>
      <c r="C3" s="61" t="s">
        <v>1</v>
      </c>
      <c r="F3" s="36" t="s">
        <v>38</v>
      </c>
      <c r="G3" s="69">
        <v>110</v>
      </c>
      <c r="H3" s="15" t="s">
        <v>332</v>
      </c>
      <c r="I3" s="21" t="s">
        <v>8</v>
      </c>
      <c r="J3" s="63">
        <f>185200/7717</f>
        <v>23.998963327718027</v>
      </c>
      <c r="K3" s="88" t="s">
        <v>318</v>
      </c>
      <c r="L3" s="3"/>
      <c r="M3" s="3"/>
      <c r="N3" s="3"/>
      <c r="O3" s="3"/>
    </row>
    <row r="4" spans="6:15" ht="13.5" customHeight="1">
      <c r="F4" s="20" t="s">
        <v>47</v>
      </c>
      <c r="G4" s="66">
        <v>100</v>
      </c>
      <c r="I4" s="6" t="s">
        <v>323</v>
      </c>
      <c r="J4" s="3"/>
      <c r="K4" s="3"/>
      <c r="L4" s="3"/>
      <c r="M4" s="3"/>
      <c r="N4" s="3"/>
      <c r="O4" s="3"/>
    </row>
    <row r="5" spans="7:16" ht="13.5" customHeight="1">
      <c r="G5" s="14" t="s">
        <v>37</v>
      </c>
      <c r="I5" s="4"/>
      <c r="J5" s="96" t="s">
        <v>320</v>
      </c>
      <c r="K5" s="97"/>
      <c r="L5" s="97"/>
      <c r="M5" s="97"/>
      <c r="N5" s="97"/>
      <c r="O5" s="97"/>
      <c r="P5" s="98"/>
    </row>
    <row r="6" spans="2:16" ht="13.5" customHeight="1">
      <c r="B6" s="13"/>
      <c r="D6" s="37" t="s">
        <v>36</v>
      </c>
      <c r="E6" s="37" t="s">
        <v>35</v>
      </c>
      <c r="F6" s="37" t="s">
        <v>34</v>
      </c>
      <c r="G6" s="37" t="s">
        <v>33</v>
      </c>
      <c r="I6" s="70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2:16" ht="13.5" customHeight="1">
      <c r="B7" s="105" t="s">
        <v>105</v>
      </c>
      <c r="C7" s="105" t="s">
        <v>32</v>
      </c>
      <c r="D7" s="78" t="s">
        <v>16</v>
      </c>
      <c r="E7" s="79"/>
      <c r="F7" s="80"/>
      <c r="G7" s="79"/>
      <c r="H7" s="16"/>
      <c r="I7" s="24"/>
      <c r="J7" s="43"/>
      <c r="K7" s="44"/>
      <c r="L7" s="44"/>
      <c r="M7" s="44"/>
      <c r="N7" s="44"/>
      <c r="O7" s="46"/>
      <c r="P7" s="47"/>
    </row>
    <row r="8" spans="2:16" ht="13.5" customHeight="1">
      <c r="B8" s="105"/>
      <c r="C8" s="105"/>
      <c r="D8" s="85" t="s">
        <v>48</v>
      </c>
      <c r="E8" s="86"/>
      <c r="F8" s="87"/>
      <c r="G8" s="86"/>
      <c r="H8" s="16"/>
      <c r="I8" s="24"/>
      <c r="J8" s="43"/>
      <c r="K8" s="44"/>
      <c r="L8" s="44"/>
      <c r="M8" s="44"/>
      <c r="N8" s="44"/>
      <c r="O8" s="46"/>
      <c r="P8" s="47"/>
    </row>
    <row r="9" spans="2:16" ht="13.5" customHeight="1">
      <c r="B9" s="105"/>
      <c r="C9" s="105"/>
      <c r="D9" s="85" t="s">
        <v>17</v>
      </c>
      <c r="E9" s="86"/>
      <c r="F9" s="87"/>
      <c r="G9" s="86"/>
      <c r="H9" s="16"/>
      <c r="I9" s="24"/>
      <c r="J9" s="43"/>
      <c r="K9" s="44"/>
      <c r="L9" s="44"/>
      <c r="M9" s="44"/>
      <c r="N9" s="44"/>
      <c r="O9" s="46"/>
      <c r="P9" s="47"/>
    </row>
    <row r="10" spans="2:16" ht="13.5" customHeight="1">
      <c r="B10" s="105"/>
      <c r="C10" s="105"/>
      <c r="D10" s="81" t="s">
        <v>112</v>
      </c>
      <c r="E10" s="65"/>
      <c r="F10" s="75"/>
      <c r="G10" s="65"/>
      <c r="H10" s="16"/>
      <c r="I10" s="24"/>
      <c r="J10" s="43"/>
      <c r="K10" s="44"/>
      <c r="L10" s="44"/>
      <c r="M10" s="44"/>
      <c r="N10" s="44"/>
      <c r="O10" s="46"/>
      <c r="P10" s="47"/>
    </row>
    <row r="11" spans="2:16" ht="13.5" customHeight="1">
      <c r="B11" s="105"/>
      <c r="C11" s="25" t="s">
        <v>20</v>
      </c>
      <c r="D11" s="81" t="s">
        <v>113</v>
      </c>
      <c r="E11" s="65"/>
      <c r="F11" s="75"/>
      <c r="G11" s="65"/>
      <c r="H11" s="16"/>
      <c r="I11" s="25"/>
      <c r="J11" s="63"/>
      <c r="K11" s="64"/>
      <c r="L11" s="41"/>
      <c r="M11" s="41"/>
      <c r="N11" s="41"/>
      <c r="O11" s="62"/>
      <c r="P11" s="41"/>
    </row>
    <row r="12" spans="2:16" ht="13.5" customHeight="1">
      <c r="B12" s="105"/>
      <c r="C12" s="102" t="s">
        <v>18</v>
      </c>
      <c r="D12" s="78" t="s">
        <v>16</v>
      </c>
      <c r="E12" s="79"/>
      <c r="F12" s="80"/>
      <c r="G12" s="79"/>
      <c r="H12" s="16"/>
      <c r="I12" s="25"/>
      <c r="J12" s="63"/>
      <c r="K12" s="64"/>
      <c r="L12" s="41"/>
      <c r="M12" s="41"/>
      <c r="N12" s="41"/>
      <c r="O12" s="62"/>
      <c r="P12" s="41"/>
    </row>
    <row r="13" spans="2:16" ht="13.5" customHeight="1">
      <c r="B13" s="105"/>
      <c r="C13" s="102"/>
      <c r="D13" s="85" t="s">
        <v>48</v>
      </c>
      <c r="E13" s="86"/>
      <c r="F13" s="87"/>
      <c r="G13" s="86"/>
      <c r="H13" s="16"/>
      <c r="I13" s="25"/>
      <c r="J13" s="63"/>
      <c r="K13" s="64"/>
      <c r="L13" s="41"/>
      <c r="M13" s="41"/>
      <c r="N13" s="41"/>
      <c r="O13" s="62"/>
      <c r="P13" s="41"/>
    </row>
    <row r="14" spans="2:16" ht="13.5" customHeight="1">
      <c r="B14" s="105"/>
      <c r="C14" s="102"/>
      <c r="D14" s="85" t="s">
        <v>17</v>
      </c>
      <c r="E14" s="86"/>
      <c r="F14" s="87"/>
      <c r="G14" s="86"/>
      <c r="H14" s="16"/>
      <c r="I14" s="24"/>
      <c r="J14" s="63"/>
      <c r="K14" s="64"/>
      <c r="L14" s="41"/>
      <c r="M14" s="41"/>
      <c r="N14" s="41"/>
      <c r="O14" s="62"/>
      <c r="P14" s="41"/>
    </row>
    <row r="15" spans="2:16" ht="13.5" customHeight="1">
      <c r="B15" s="105"/>
      <c r="C15" s="103"/>
      <c r="D15" s="81" t="s">
        <v>114</v>
      </c>
      <c r="E15" s="65"/>
      <c r="F15" s="75"/>
      <c r="G15" s="65"/>
      <c r="H15" s="16"/>
      <c r="I15" s="24"/>
      <c r="J15" s="63"/>
      <c r="K15" s="64"/>
      <c r="L15" s="41"/>
      <c r="M15" s="41"/>
      <c r="N15" s="41"/>
      <c r="O15" s="62"/>
      <c r="P15" s="41"/>
    </row>
    <row r="16" spans="2:16" ht="13.5" customHeight="1">
      <c r="B16" s="105"/>
      <c r="C16" s="25" t="s">
        <v>21</v>
      </c>
      <c r="D16" s="81" t="s">
        <v>115</v>
      </c>
      <c r="E16" s="65"/>
      <c r="F16" s="75"/>
      <c r="G16" s="65"/>
      <c r="H16" s="16"/>
      <c r="I16" s="25"/>
      <c r="J16" s="63"/>
      <c r="K16" s="64"/>
      <c r="L16" s="41"/>
      <c r="M16" s="41"/>
      <c r="N16" s="41"/>
      <c r="O16" s="62"/>
      <c r="P16" s="41"/>
    </row>
    <row r="17" spans="2:16" ht="13.5" customHeight="1"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6"/>
      <c r="I17" s="25"/>
      <c r="J17" s="63"/>
      <c r="K17" s="64"/>
      <c r="L17" s="41"/>
      <c r="M17" s="41"/>
      <c r="N17" s="41"/>
      <c r="O17" s="62"/>
      <c r="P17" s="41"/>
    </row>
    <row r="18" spans="2:16" ht="13.5" customHeight="1">
      <c r="B18" s="105"/>
      <c r="C18" s="105"/>
      <c r="D18" s="85" t="s">
        <v>48</v>
      </c>
      <c r="E18" s="86">
        <v>29635</v>
      </c>
      <c r="F18" s="87">
        <v>-630</v>
      </c>
      <c r="G18" s="86">
        <v>-940</v>
      </c>
      <c r="H18" s="16" t="s">
        <v>339</v>
      </c>
      <c r="I18" s="25"/>
      <c r="J18" s="63"/>
      <c r="K18" s="64"/>
      <c r="L18" s="41"/>
      <c r="M18" s="41"/>
      <c r="N18" s="41"/>
      <c r="O18" s="62"/>
      <c r="P18" s="41"/>
    </row>
    <row r="19" spans="2:16" ht="13.5" customHeight="1">
      <c r="B19" s="105"/>
      <c r="C19" s="105"/>
      <c r="D19" s="85" t="s">
        <v>17</v>
      </c>
      <c r="E19" s="86">
        <v>32200</v>
      </c>
      <c r="F19" s="87">
        <v>510</v>
      </c>
      <c r="G19" s="86">
        <v>200</v>
      </c>
      <c r="H19" s="16"/>
      <c r="I19" s="25"/>
      <c r="J19" s="61"/>
      <c r="K19" s="61"/>
      <c r="L19" s="61"/>
      <c r="M19" s="61"/>
      <c r="N19" s="61"/>
      <c r="O19" s="62"/>
      <c r="P19" s="61"/>
    </row>
    <row r="20" spans="2:16" ht="13.5" customHeight="1">
      <c r="B20" s="105"/>
      <c r="C20" s="105"/>
      <c r="D20" s="81" t="s">
        <v>117</v>
      </c>
      <c r="E20" s="82"/>
      <c r="F20" s="83"/>
      <c r="G20" s="66"/>
      <c r="H20" s="16"/>
      <c r="I20" s="25" t="s">
        <v>31</v>
      </c>
      <c r="J20" s="63">
        <f>59/2.5</f>
        <v>23.6</v>
      </c>
      <c r="K20" s="64">
        <v>56.2</v>
      </c>
      <c r="L20" s="41">
        <v>-1123</v>
      </c>
      <c r="M20" s="41">
        <v>2700</v>
      </c>
      <c r="N20" s="41">
        <v>287</v>
      </c>
      <c r="O20" s="62">
        <v>7.5</v>
      </c>
      <c r="P20" s="41"/>
    </row>
    <row r="21" spans="2:16" ht="13.5" customHeight="1">
      <c r="B21" s="105"/>
      <c r="C21" s="25" t="s">
        <v>20</v>
      </c>
      <c r="D21" s="81" t="s">
        <v>118</v>
      </c>
      <c r="E21" s="82"/>
      <c r="F21" s="83"/>
      <c r="G21" s="66"/>
      <c r="H21" s="16"/>
      <c r="I21" s="25" t="s">
        <v>30</v>
      </c>
      <c r="J21" s="63">
        <v>24.000241</v>
      </c>
      <c r="K21" s="64">
        <v>57.6</v>
      </c>
      <c r="L21" s="41">
        <v>2169</v>
      </c>
      <c r="M21" s="41">
        <v>2500</v>
      </c>
      <c r="N21" s="41">
        <v>287</v>
      </c>
      <c r="O21" s="62">
        <v>7.5</v>
      </c>
      <c r="P21" s="41"/>
    </row>
    <row r="22" spans="2:16" ht="13.5" customHeight="1">
      <c r="B22" s="105"/>
      <c r="C22" s="102" t="s">
        <v>18</v>
      </c>
      <c r="D22" s="78" t="s">
        <v>16</v>
      </c>
      <c r="E22" s="79"/>
      <c r="F22" s="80"/>
      <c r="G22" s="79"/>
      <c r="H22" s="16"/>
      <c r="I22" s="25" t="s">
        <v>29</v>
      </c>
      <c r="J22" s="63">
        <v>24.000708</v>
      </c>
      <c r="K22" s="64">
        <v>62</v>
      </c>
      <c r="L22" s="41">
        <v>2005</v>
      </c>
      <c r="M22" s="41">
        <v>800</v>
      </c>
      <c r="N22" s="41">
        <v>489</v>
      </c>
      <c r="O22" s="64">
        <v>7.5</v>
      </c>
      <c r="P22" s="41"/>
    </row>
    <row r="23" spans="2:8" ht="13.5" customHeight="1">
      <c r="B23" s="105"/>
      <c r="C23" s="102"/>
      <c r="D23" s="85" t="s">
        <v>48</v>
      </c>
      <c r="E23" s="86"/>
      <c r="F23" s="87"/>
      <c r="G23" s="86"/>
      <c r="H23" s="16"/>
    </row>
    <row r="24" spans="2:8" ht="13.5" customHeight="1">
      <c r="B24" s="105"/>
      <c r="C24" s="102"/>
      <c r="D24" s="85" t="s">
        <v>17</v>
      </c>
      <c r="E24" s="86">
        <v>11800</v>
      </c>
      <c r="F24" s="87">
        <v>-1120</v>
      </c>
      <c r="G24" s="86">
        <v>-1260</v>
      </c>
      <c r="H24" s="16"/>
    </row>
    <row r="25" spans="2:13" ht="13.5" customHeight="1">
      <c r="B25" s="105"/>
      <c r="C25" s="103"/>
      <c r="D25" s="81" t="s">
        <v>119</v>
      </c>
      <c r="E25" s="82">
        <v>11089</v>
      </c>
      <c r="F25" s="83">
        <v>-1705</v>
      </c>
      <c r="G25" s="66">
        <v>-1852</v>
      </c>
      <c r="H25" s="16"/>
      <c r="K25" s="105" t="s">
        <v>99</v>
      </c>
      <c r="L25" s="105"/>
      <c r="M25" s="105"/>
    </row>
    <row r="26" spans="2:13" ht="13.5" customHeight="1">
      <c r="B26" s="105"/>
      <c r="C26" s="25" t="s">
        <v>21</v>
      </c>
      <c r="D26" s="81" t="s">
        <v>120</v>
      </c>
      <c r="E26" s="82">
        <v>3516</v>
      </c>
      <c r="F26" s="83">
        <v>-1216</v>
      </c>
      <c r="G26" s="66">
        <v>-1292</v>
      </c>
      <c r="H26" s="16"/>
      <c r="K26" s="23" t="s">
        <v>5</v>
      </c>
      <c r="L26" s="27" t="s">
        <v>6</v>
      </c>
      <c r="M26" s="23" t="s">
        <v>7</v>
      </c>
    </row>
    <row r="27" spans="2:13" ht="13.5" customHeight="1">
      <c r="B27" s="101" t="s">
        <v>14</v>
      </c>
      <c r="C27" s="25" t="s">
        <v>15</v>
      </c>
      <c r="D27" s="84" t="s">
        <v>121</v>
      </c>
      <c r="E27" s="65">
        <v>31673</v>
      </c>
      <c r="F27" s="65">
        <v>-222</v>
      </c>
      <c r="G27" s="65">
        <v>-246</v>
      </c>
      <c r="H27" s="16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27396.381483876525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2:13" ht="13.5" customHeight="1">
      <c r="B28" s="102"/>
      <c r="C28" s="25" t="s">
        <v>20</v>
      </c>
      <c r="D28" s="84" t="s">
        <v>122</v>
      </c>
      <c r="E28" s="65">
        <v>17508</v>
      </c>
      <c r="F28" s="65">
        <v>-1807</v>
      </c>
      <c r="G28" s="65">
        <v>-1777</v>
      </c>
      <c r="H28" s="16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29703.718866701667</v>
      </c>
      <c r="L28" s="41">
        <f>IF(OR(F37&lt;=0,F35&lt;=0,F25&lt;=0),IF(OR(F33&lt;=0,F31&lt;=0),IF(OR(F29&lt;=0,F27&lt;=0),0,F27/F29*F25),(F31/F33+F27/F29)/2*F25),(F35/F37+F31/F33+F27/F29)/3*F25)</f>
        <v>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2:13" ht="13.5" customHeight="1">
      <c r="B29" s="102"/>
      <c r="C29" s="25" t="s">
        <v>18</v>
      </c>
      <c r="D29" s="81" t="s">
        <v>286</v>
      </c>
      <c r="E29" s="65">
        <v>12210</v>
      </c>
      <c r="F29" s="65">
        <v>-1305</v>
      </c>
      <c r="G29" s="65">
        <v>-1364</v>
      </c>
      <c r="H29" s="16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2:13" ht="13.5" customHeight="1">
      <c r="B30" s="103"/>
      <c r="C30" s="25" t="s">
        <v>21</v>
      </c>
      <c r="D30" s="81" t="s">
        <v>287</v>
      </c>
      <c r="E30" s="65">
        <v>4288</v>
      </c>
      <c r="F30" s="65">
        <v>-995</v>
      </c>
      <c r="G30" s="65">
        <v>-923</v>
      </c>
      <c r="H30" s="16"/>
      <c r="I30" s="105" t="s">
        <v>103</v>
      </c>
      <c r="J30" s="105"/>
      <c r="K30" s="41">
        <f>IF(E18=0,E19,E18)</f>
        <v>29635</v>
      </c>
      <c r="L30" s="41">
        <f>IF(F18=0,F19,F18)</f>
        <v>-630</v>
      </c>
      <c r="M30" s="41">
        <f>IF(G18=0,G19,G18)</f>
        <v>-940</v>
      </c>
    </row>
    <row r="31" spans="2:8" ht="13.5" customHeight="1">
      <c r="B31" s="101" t="s">
        <v>19</v>
      </c>
      <c r="C31" s="25" t="s">
        <v>306</v>
      </c>
      <c r="D31" s="84" t="s">
        <v>314</v>
      </c>
      <c r="E31" s="65">
        <v>30355</v>
      </c>
      <c r="F31" s="65">
        <v>4</v>
      </c>
      <c r="G31" s="65">
        <v>-1456</v>
      </c>
      <c r="H31" s="16"/>
    </row>
    <row r="32" spans="2:16" ht="13.5" customHeight="1">
      <c r="B32" s="102"/>
      <c r="C32" s="25" t="s">
        <v>20</v>
      </c>
      <c r="D32" s="84" t="s">
        <v>315</v>
      </c>
      <c r="E32" s="65">
        <v>17239</v>
      </c>
      <c r="F32" s="65">
        <v>-1359</v>
      </c>
      <c r="G32" s="65">
        <v>-2225</v>
      </c>
      <c r="H32" s="16"/>
      <c r="I32" s="89"/>
      <c r="J32" s="89"/>
      <c r="K32" s="89"/>
      <c r="L32" s="89"/>
      <c r="M32" s="89"/>
      <c r="N32" s="89"/>
      <c r="O32" s="89"/>
      <c r="P32" s="89"/>
    </row>
    <row r="33" spans="2:16" ht="13.5" customHeight="1">
      <c r="B33" s="102"/>
      <c r="C33" s="25" t="s">
        <v>18</v>
      </c>
      <c r="D33" s="81" t="s">
        <v>288</v>
      </c>
      <c r="E33" s="65">
        <v>11307</v>
      </c>
      <c r="F33" s="65">
        <v>-1212</v>
      </c>
      <c r="G33" s="65">
        <v>-1964</v>
      </c>
      <c r="H33" s="16"/>
      <c r="I33" s="90"/>
      <c r="J33" s="106"/>
      <c r="K33" s="107"/>
      <c r="L33" s="107"/>
      <c r="M33" s="107"/>
      <c r="N33" s="107"/>
      <c r="O33" s="107"/>
      <c r="P33" s="107"/>
    </row>
    <row r="34" spans="2:16" ht="13.5" customHeight="1">
      <c r="B34" s="103"/>
      <c r="C34" s="25" t="s">
        <v>21</v>
      </c>
      <c r="D34" s="84" t="s">
        <v>289</v>
      </c>
      <c r="E34" s="65">
        <v>3703</v>
      </c>
      <c r="F34" s="65">
        <v>-1005</v>
      </c>
      <c r="G34" s="65">
        <v>-2024</v>
      </c>
      <c r="H34" s="16"/>
      <c r="I34" s="89"/>
      <c r="J34" s="107"/>
      <c r="K34" s="108"/>
      <c r="L34" s="107"/>
      <c r="M34" s="108"/>
      <c r="N34" s="107"/>
      <c r="O34" s="108"/>
      <c r="P34" s="107"/>
    </row>
    <row r="35" spans="2:16" ht="13.5" customHeight="1">
      <c r="B35" s="101" t="s">
        <v>311</v>
      </c>
      <c r="C35" s="25" t="s">
        <v>312</v>
      </c>
      <c r="D35" s="81" t="s">
        <v>316</v>
      </c>
      <c r="E35" s="65">
        <v>30182</v>
      </c>
      <c r="F35" s="65">
        <v>-240</v>
      </c>
      <c r="G35" s="65">
        <v>-1060</v>
      </c>
      <c r="H35" s="16"/>
      <c r="I35" s="89"/>
      <c r="J35" s="91"/>
      <c r="K35" s="91"/>
      <c r="L35" s="91"/>
      <c r="M35" s="91"/>
      <c r="N35" s="91"/>
      <c r="O35" s="91"/>
      <c r="P35" s="107"/>
    </row>
    <row r="36" spans="2:16" ht="13.5" customHeight="1">
      <c r="B36" s="102"/>
      <c r="C36" s="25" t="s">
        <v>20</v>
      </c>
      <c r="D36" s="81" t="s">
        <v>317</v>
      </c>
      <c r="E36" s="65">
        <v>16622</v>
      </c>
      <c r="F36" s="65">
        <v>-1678</v>
      </c>
      <c r="G36" s="65">
        <v>-1216</v>
      </c>
      <c r="H36" s="16"/>
      <c r="I36" s="92"/>
      <c r="J36" s="92"/>
      <c r="K36" s="93"/>
      <c r="L36" s="92"/>
      <c r="M36" s="93"/>
      <c r="N36" s="92"/>
      <c r="O36" s="94"/>
      <c r="P36" s="95"/>
    </row>
    <row r="37" spans="2:16" ht="13.5" customHeight="1">
      <c r="B37" s="102"/>
      <c r="C37" s="25" t="s">
        <v>313</v>
      </c>
      <c r="D37" s="81" t="s">
        <v>290</v>
      </c>
      <c r="E37" s="65">
        <v>10946</v>
      </c>
      <c r="F37" s="65">
        <v>-1391</v>
      </c>
      <c r="G37" s="65">
        <v>-956</v>
      </c>
      <c r="H37" s="16"/>
      <c r="I37" s="92"/>
      <c r="J37" s="92"/>
      <c r="K37" s="93"/>
      <c r="L37" s="92"/>
      <c r="M37" s="93"/>
      <c r="N37" s="92"/>
      <c r="O37" s="94"/>
      <c r="P37" s="95"/>
    </row>
    <row r="38" spans="2:16" ht="13.5" customHeight="1">
      <c r="B38" s="103"/>
      <c r="C38" s="25" t="s">
        <v>21</v>
      </c>
      <c r="D38" s="81" t="s">
        <v>291</v>
      </c>
      <c r="E38" s="65"/>
      <c r="F38" s="65"/>
      <c r="G38" s="65"/>
      <c r="H38" s="16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2.5480697339797587</v>
      </c>
      <c r="C41" s="39">
        <f>IF(B43&lt;=0,-100,IF((30-B43)*5&lt;-100,-100,(30-B43)*5))</f>
        <v>-100</v>
      </c>
      <c r="D41" s="39">
        <f>IF(D42+D43+D44&lt;-20,-20,IF((D42+D43+D44)&gt;20,20,D42+D43+D44))</f>
        <v>-20</v>
      </c>
      <c r="E41" s="39">
        <f>IF(E42+E43+E44&lt;-100,-100,IF(E42+E43+E44&gt;50,50,E42+E43+E44))</f>
        <v>50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0.031589393684226225</v>
      </c>
      <c r="L41" s="39">
        <f>IF(N20/E27*100&gt;30,30,N20/E27*100)</f>
        <v>0.9061345625611721</v>
      </c>
      <c r="M41" s="39">
        <f>IF((L20-M20)*50/E27&lt;-50,-50,IF((L20-M20)*50/E27&gt;30,30,(L20-M20)*50/E27))</f>
        <v>-6.03510876772014</v>
      </c>
      <c r="N41" s="39">
        <f>(K20-50)/2</f>
        <v>3.1000000000000014</v>
      </c>
      <c r="O41" s="39">
        <f>IF(O20=0,-30,((O20/G3)*100-1)*30)</f>
        <v>174.54545454545453</v>
      </c>
      <c r="P41" s="76">
        <f>G3*G4/1000</f>
        <v>11</v>
      </c>
    </row>
    <row r="42" spans="2:14" ht="13.5" customHeight="1">
      <c r="B42" s="29" t="s">
        <v>326</v>
      </c>
      <c r="C42" s="12"/>
      <c r="D42" s="39">
        <f>IF(OR(E26=0,E30=0),0,(E26-E30)/E30*100)</f>
        <v>-18.003731343283583</v>
      </c>
      <c r="E42" s="39">
        <f>IF(E18=0,(E19-E27)/E27*50,(E18-E27)/E27*50)</f>
        <v>-3.217251286584788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-7.965838509316771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0</v>
      </c>
      <c r="C43" s="12"/>
      <c r="D43" s="39">
        <f>IF(OR(F26=0,F30=0),0,IF(F30&lt;0,(F26-F30)/(-F30)*50,(F26-F30)/(F30)*50))</f>
        <v>-11.105527638190955</v>
      </c>
      <c r="E43" s="39">
        <f>IF(F18=0,(F19-F27)/F27*50,(F18-F27)/F27*50)</f>
        <v>91.8918918918919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-223.52941176470588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-39.978331527627304</v>
      </c>
      <c r="E44" s="39">
        <f>IF(G18=0,(G19-G27)/G27*50,(G18-G27)/G27*50)</f>
        <v>141.0569105691057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-570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2">
    <mergeCell ref="J33:P33"/>
    <mergeCell ref="J34:K34"/>
    <mergeCell ref="L34:M34"/>
    <mergeCell ref="N34:O34"/>
    <mergeCell ref="P34:P35"/>
    <mergeCell ref="C7:C10"/>
    <mergeCell ref="C12:C15"/>
    <mergeCell ref="K25:M25"/>
    <mergeCell ref="I30:J30"/>
    <mergeCell ref="I27:J27"/>
    <mergeCell ref="I28:J28"/>
    <mergeCell ref="I29:J29"/>
    <mergeCell ref="J5:P5"/>
    <mergeCell ref="B2:C2"/>
    <mergeCell ref="D2:L2"/>
    <mergeCell ref="B35:B38"/>
    <mergeCell ref="B31:B34"/>
    <mergeCell ref="B7:B16"/>
    <mergeCell ref="B27:B30"/>
    <mergeCell ref="C17:C20"/>
    <mergeCell ref="C22:C25"/>
    <mergeCell ref="B17:B26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7265</v>
      </c>
      <c r="C2" s="99"/>
      <c r="D2" s="99" t="s">
        <v>73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410</v>
      </c>
      <c r="H3" s="15" t="s">
        <v>330</v>
      </c>
      <c r="I3" s="21" t="s">
        <v>8</v>
      </c>
      <c r="J3" s="58">
        <f>11100/1651</f>
        <v>6.723198061780739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4746</v>
      </c>
      <c r="F19" s="87">
        <v>400</v>
      </c>
      <c r="G19" s="86">
        <v>228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59/8.81</f>
        <v>6.696935300794551</v>
      </c>
      <c r="K20" s="59">
        <v>65.2</v>
      </c>
      <c r="L20" s="41">
        <v>2917</v>
      </c>
      <c r="M20" s="41">
        <v>877</v>
      </c>
      <c r="N20" s="41">
        <v>290</v>
      </c>
      <c r="O20" s="60">
        <v>15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6.79852</v>
      </c>
      <c r="K21" s="59">
        <v>62.4</v>
      </c>
      <c r="L21" s="41">
        <v>2779</v>
      </c>
      <c r="M21" s="41">
        <v>990</v>
      </c>
      <c r="N21" s="41">
        <v>121</v>
      </c>
      <c r="O21" s="60">
        <v>14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6.877548</v>
      </c>
      <c r="K22" s="64">
        <v>65.8</v>
      </c>
      <c r="L22" s="41">
        <v>2851</v>
      </c>
      <c r="M22" s="41">
        <v>897</v>
      </c>
      <c r="N22" s="41">
        <v>248</v>
      </c>
      <c r="O22" s="64">
        <v>15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2310</v>
      </c>
      <c r="F24" s="87">
        <v>169</v>
      </c>
      <c r="G24" s="86">
        <v>96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2343</v>
      </c>
      <c r="F25" s="83">
        <v>189</v>
      </c>
      <c r="G25" s="66">
        <v>111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1174</v>
      </c>
      <c r="F26" s="83">
        <v>95</v>
      </c>
      <c r="G26" s="66">
        <v>59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5064</v>
      </c>
      <c r="F27" s="65">
        <v>348</v>
      </c>
      <c r="G27" s="65">
        <v>207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4928.757680431241</v>
      </c>
      <c r="L27" s="41">
        <f>IF(OR(F38&lt;=0,F35&lt;=0,F26&lt;=0),IF(OR(F34&lt;=0,F31&lt;=0),IF(OR(F30&lt;=0,F27&lt;=0),0,F27/F30*F26),(F31/F34+F27/F30)/2*F26),(F35/F38+F31/F34+F27/F30)/3*F26)</f>
        <v>538.7401769218326</v>
      </c>
      <c r="M27" s="41">
        <f>IF(OR(G38&lt;=0,G35&lt;=0,G26&lt;=0),IF(OR(G34&lt;=0,G31&lt;=0),IF(OR(G30&lt;=0,G27&lt;=0),0,G27/G30*G26),(G31/G34+G27/G30)/2*G26),(G35/G38+G31/G34+G27/G30)/3*G26)</f>
        <v>295.73470932232544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3692</v>
      </c>
      <c r="F28" s="65">
        <v>227</v>
      </c>
      <c r="G28" s="65">
        <v>142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5059.238159615354</v>
      </c>
      <c r="L28" s="41">
        <f>IF(OR(F37&lt;=0,F35&lt;=0,F25&lt;=0),IF(OR(F33&lt;=0,F31&lt;=0),IF(OR(F29&lt;=0,F27&lt;=0),0,F27/F29*F25),(F31/F33+F27/F29)/2*F25),(F35/F37+F31/F33+F27/F29)/3*F25)</f>
        <v>392.6147995503934</v>
      </c>
      <c r="M28" s="41">
        <f>IF(OR(G37&lt;=0,G35&lt;=0,G25&lt;=0),IF(OR(G33&lt;=0,G31&lt;=0),IF(OR(G29&lt;=0,G27&lt;=0),0,G27/G29*G25),(G31/G33+G27/G29)/2*G25),(G35/G37+G31/G33+G27/G29)/3*G25)</f>
        <v>221.48086007702184</v>
      </c>
    </row>
    <row r="29" spans="1:13" ht="13.5" customHeight="1">
      <c r="A29" s="8"/>
      <c r="B29" s="102"/>
      <c r="C29" s="25" t="s">
        <v>18</v>
      </c>
      <c r="D29" s="81" t="s">
        <v>222</v>
      </c>
      <c r="E29" s="65">
        <v>2079</v>
      </c>
      <c r="F29" s="65">
        <v>136</v>
      </c>
      <c r="G29" s="65">
        <v>82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223</v>
      </c>
      <c r="E30" s="65">
        <v>1134</v>
      </c>
      <c r="F30" s="65">
        <v>51</v>
      </c>
      <c r="G30" s="65">
        <v>34</v>
      </c>
      <c r="H30" s="15"/>
      <c r="I30" s="105" t="s">
        <v>103</v>
      </c>
      <c r="J30" s="105"/>
      <c r="K30" s="41">
        <f>IF(E18=0,E19,E18)</f>
        <v>4746</v>
      </c>
      <c r="L30" s="41">
        <f>IF(F18=0,F19,F18)</f>
        <v>400</v>
      </c>
      <c r="M30" s="41">
        <f>IF(G18=0,G19,G18)</f>
        <v>228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4897</v>
      </c>
      <c r="F31" s="65">
        <v>321</v>
      </c>
      <c r="G31" s="65">
        <v>183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3655</v>
      </c>
      <c r="F32" s="65">
        <v>256</v>
      </c>
      <c r="G32" s="65">
        <v>158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224</v>
      </c>
      <c r="E33" s="65">
        <v>2362</v>
      </c>
      <c r="F33" s="65">
        <v>157</v>
      </c>
      <c r="G33" s="65">
        <v>100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225</v>
      </c>
      <c r="E34" s="65">
        <v>1139</v>
      </c>
      <c r="F34" s="65">
        <v>49</v>
      </c>
      <c r="G34" s="65">
        <v>38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4680</v>
      </c>
      <c r="F35" s="65">
        <v>342</v>
      </c>
      <c r="G35" s="65">
        <v>186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3535</v>
      </c>
      <c r="F36" s="65">
        <v>257</v>
      </c>
      <c r="G36" s="65">
        <v>143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226</v>
      </c>
      <c r="E37" s="65">
        <v>2377</v>
      </c>
      <c r="F37" s="65">
        <v>210</v>
      </c>
      <c r="G37" s="65">
        <v>114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227</v>
      </c>
      <c r="E38" s="65">
        <v>1222</v>
      </c>
      <c r="F38" s="65">
        <v>94</v>
      </c>
      <c r="G38" s="65">
        <v>45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262.45282466111894</v>
      </c>
      <c r="C41" s="39">
        <f>IF(B43&lt;=0,-100,IF((30-B43)*5&lt;-100,-100,(30-B43)*5))</f>
        <v>89.78632733934724</v>
      </c>
      <c r="D41" s="39">
        <f>IF(D42+D43+D44&lt;-20,-20,IF((D42+D43+D44)&gt;20,20,D42+D43+D44))</f>
        <v>20</v>
      </c>
      <c r="E41" s="39">
        <f>IF(E42+E43+E44&lt;-100,-100,IF(E42+E43+E44&gt;50,50,E42+E43+E44))</f>
        <v>9.403917709391752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0.037603694374381394</v>
      </c>
      <c r="L41" s="39">
        <f>IF(N20/E27*100&gt;30,30,N20/E27*100)</f>
        <v>5.726698262243286</v>
      </c>
      <c r="M41" s="39">
        <f>IF((L20-M20)*50/E27&lt;-50,-50,IF((L20-M20)*50/E27&gt;30,30,(L20-M20)*50/E27))</f>
        <v>20.14218009478673</v>
      </c>
      <c r="N41" s="39">
        <f>(K20-50)/2</f>
        <v>7.600000000000001</v>
      </c>
      <c r="O41" s="39">
        <f>IF(O20=0,-30,((O20/G3)*100-1)*30)</f>
        <v>79.7560975609756</v>
      </c>
      <c r="P41" s="76">
        <f>G3*G4/1000</f>
        <v>410</v>
      </c>
    </row>
    <row r="42" spans="2:14" ht="13.5" customHeight="1">
      <c r="B42" s="29" t="s">
        <v>326</v>
      </c>
      <c r="C42" s="12"/>
      <c r="D42" s="39">
        <f>IF(OR(E26=0,E30=0),0,(E26-E30)/E30*100)</f>
        <v>3.527336860670194</v>
      </c>
      <c r="E42" s="39">
        <f>IF(E18=0,(E19-E27)/E27*50,(E18-E27)/E27*50)</f>
        <v>-3.139810426540284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12.042734532130552</v>
      </c>
      <c r="C43" s="12"/>
      <c r="D43" s="39">
        <f>IF(OR(F26=0,F30=0),0,IF(F30&lt;0,(F26-F30)/(-F30)*50,(F26-F30)/(F30)*50))</f>
        <v>43.13725490196079</v>
      </c>
      <c r="E43" s="39">
        <f>IF(F18=0,(F19-F27)/F27*50,(F18-F27)/F27*50)</f>
        <v>7.471264367816093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73.52941176470588</v>
      </c>
      <c r="E44" s="39">
        <f>IF(G18=0,(G19-G27)/G27*50,(G18-G27)/G27*50)</f>
        <v>5.072463768115942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7279</v>
      </c>
      <c r="C2" s="99"/>
      <c r="D2" s="99" t="s">
        <v>94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1422</v>
      </c>
      <c r="H3" s="15" t="s">
        <v>327</v>
      </c>
      <c r="I3" s="21" t="s">
        <v>8</v>
      </c>
      <c r="J3" s="58">
        <f>487700/12819</f>
        <v>38.04508932053982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136600</v>
      </c>
      <c r="F19" s="87">
        <v>7640</v>
      </c>
      <c r="G19" s="86">
        <v>6440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38.216</v>
      </c>
      <c r="K20" s="59">
        <v>67.2</v>
      </c>
      <c r="L20" s="41">
        <v>55520</v>
      </c>
      <c r="M20" s="41">
        <v>1808</v>
      </c>
      <c r="N20" s="41"/>
      <c r="O20" s="60">
        <v>18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38.165151</v>
      </c>
      <c r="K21" s="59">
        <v>68.8</v>
      </c>
      <c r="L21" s="41">
        <v>51005</v>
      </c>
      <c r="M21" s="41">
        <v>1994</v>
      </c>
      <c r="N21" s="41">
        <v>4670</v>
      </c>
      <c r="O21" s="60">
        <v>18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38.167604</v>
      </c>
      <c r="K22" s="64">
        <v>68.9</v>
      </c>
      <c r="L22" s="41">
        <v>52836</v>
      </c>
      <c r="M22" s="41">
        <v>1670</v>
      </c>
      <c r="N22" s="41">
        <v>3894</v>
      </c>
      <c r="O22" s="64">
        <v>22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65700</v>
      </c>
      <c r="F24" s="87">
        <v>3450</v>
      </c>
      <c r="G24" s="86">
        <v>3540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67983</v>
      </c>
      <c r="F25" s="83">
        <v>4616</v>
      </c>
      <c r="G25" s="66">
        <v>4877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34592</v>
      </c>
      <c r="F26" s="83">
        <v>2105</v>
      </c>
      <c r="G26" s="66">
        <v>2886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132847</v>
      </c>
      <c r="F27" s="65">
        <v>6440</v>
      </c>
      <c r="G27" s="65">
        <v>4114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144015.95697488738</v>
      </c>
      <c r="L27" s="41">
        <f>IF(OR(F38&lt;=0,F35&lt;=0,F26&lt;=0),IF(OR(F34&lt;=0,F31&lt;=0),IF(OR(F30&lt;=0,F27&lt;=0),0,F27/F30*F26),(F31/F34+F27/F30)/2*F26),(F35/F38+F31/F34+F27/F30)/3*F26)</f>
        <v>8908.733914609205</v>
      </c>
      <c r="M27" s="41">
        <f>IF(OR(G38&lt;=0,G35&lt;=0,G26&lt;=0),IF(OR(G34&lt;=0,G31&lt;=0),IF(OR(G30&lt;=0,G27&lt;=0),0,G27/G30*G26),(G31/G34+G27/G30)/2*G26),(G35/G38+G31/G34+G27/G30)/3*G26)</f>
        <v>12944.404107762071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99414</v>
      </c>
      <c r="F28" s="65">
        <v>4700</v>
      </c>
      <c r="G28" s="65">
        <v>2911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138065.59828063732</v>
      </c>
      <c r="L28" s="41">
        <f>IF(OR(F37&lt;=0,F35&lt;=0,F25&lt;=0),IF(OR(F33&lt;=0,F31&lt;=0),IF(OR(F29&lt;=0,F27&lt;=0),0,F27/F29*F25),(F31/F33+F27/F29)/2*F25),(F35/F37+F31/F33+F27/F29)/3*F25)</f>
        <v>10242.572289633796</v>
      </c>
      <c r="M28" s="41">
        <f>IF(OR(G37&lt;=0,G35&lt;=0,G25&lt;=0),IF(OR(G33&lt;=0,G31&lt;=0),IF(OR(G29&lt;=0,G27&lt;=0),0,G27/G29*G25),(G31/G33+G27/G29)/2*G25),(G35/G37+G31/G33+G27/G29)/3*G25)</f>
        <v>11357.649911708351</v>
      </c>
    </row>
    <row r="29" spans="1:13" ht="13.5" customHeight="1">
      <c r="A29" s="8"/>
      <c r="B29" s="102"/>
      <c r="C29" s="25" t="s">
        <v>18</v>
      </c>
      <c r="D29" s="81" t="s">
        <v>216</v>
      </c>
      <c r="E29" s="65">
        <v>65628</v>
      </c>
      <c r="F29" s="65">
        <v>2603</v>
      </c>
      <c r="G29" s="65">
        <v>1508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217</v>
      </c>
      <c r="E30" s="65">
        <v>32005</v>
      </c>
      <c r="F30" s="65">
        <v>1481</v>
      </c>
      <c r="G30" s="65">
        <v>782</v>
      </c>
      <c r="H30" s="15"/>
      <c r="I30" s="105" t="s">
        <v>103</v>
      </c>
      <c r="J30" s="105"/>
      <c r="K30" s="41">
        <f>IF(E18=0,E19,E18)</f>
        <v>136600</v>
      </c>
      <c r="L30" s="41">
        <f>IF(F18=0,F19,F18)</f>
        <v>7640</v>
      </c>
      <c r="M30" s="41">
        <f>IF(G18=0,G19,G18)</f>
        <v>6440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117120</v>
      </c>
      <c r="F31" s="65">
        <v>6532</v>
      </c>
      <c r="G31" s="65">
        <v>3628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87962</v>
      </c>
      <c r="F32" s="65">
        <v>4585</v>
      </c>
      <c r="G32" s="65">
        <v>2579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218</v>
      </c>
      <c r="E33" s="65">
        <v>57162</v>
      </c>
      <c r="F33" s="65">
        <v>3084</v>
      </c>
      <c r="G33" s="65">
        <v>1680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219</v>
      </c>
      <c r="E34" s="65">
        <v>27806</v>
      </c>
      <c r="F34" s="65">
        <v>1587</v>
      </c>
      <c r="G34" s="65">
        <v>978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102134</v>
      </c>
      <c r="F35" s="65">
        <v>6607</v>
      </c>
      <c r="G35" s="65">
        <v>4078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76210</v>
      </c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220</v>
      </c>
      <c r="E37" s="65">
        <v>50574</v>
      </c>
      <c r="F37" s="65">
        <v>3200</v>
      </c>
      <c r="G37" s="65">
        <v>1943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221</v>
      </c>
      <c r="E38" s="65">
        <v>24748</v>
      </c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229.22749063881912</v>
      </c>
      <c r="C41" s="39">
        <f>IF(B43&lt;=0,-100,IF((30-B43)*5&lt;-100,-100,(30-B43)*5))</f>
        <v>107.80811180124223</v>
      </c>
      <c r="D41" s="39">
        <f>IF(D42+D43+D44&lt;-20,-20,IF((D42+D43+D44)&gt;20,20,D42+D43+D44))</f>
        <v>20</v>
      </c>
      <c r="E41" s="39">
        <f>IF(E42+E43+E44&lt;-100,-100,IF(E42+E43+E44&gt;50,50,E42+E43+E44))</f>
        <v>38.99862163790071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16.60646485090583</v>
      </c>
      <c r="J41" s="39">
        <f>IF(J42+J43+J44&gt;20,20,IF(J42+J43+J44&lt;-50,-50,J42+J43+J44))</f>
        <v>0</v>
      </c>
      <c r="K41" s="39">
        <f>POWER(LOG(J3*G3/1000),4)</f>
        <v>9.02387190412255</v>
      </c>
      <c r="L41" s="39">
        <f>IF(N20/E27*100&gt;30,30,N20/E27*100)</f>
        <v>0</v>
      </c>
      <c r="M41" s="39">
        <f>IF((L20-M20)*50/E27&lt;-50,-50,IF((L20-M20)*50/E27&gt;30,30,(L20-M20)*50/E27))</f>
        <v>20.215736900344005</v>
      </c>
      <c r="N41" s="39">
        <f>(K20-50)/2</f>
        <v>8.600000000000001</v>
      </c>
      <c r="O41" s="39">
        <f>IF(O20=0,-30,((O20/G3)*100-1)*30)</f>
        <v>7.9746835443038</v>
      </c>
      <c r="P41" s="76">
        <f>G3*G4/1000</f>
        <v>142.2</v>
      </c>
    </row>
    <row r="42" spans="2:14" ht="13.5" customHeight="1">
      <c r="B42" s="29" t="s">
        <v>326</v>
      </c>
      <c r="C42" s="12"/>
      <c r="D42" s="39">
        <f>IF(OR(E26=0,E30=0),0,(E26-E30)/E30*100)</f>
        <v>8.083112013747852</v>
      </c>
      <c r="E42" s="39">
        <f>IF(E18=0,(E19-E27)/E27*50,(E18-E27)/E27*50)</f>
        <v>1.4125271929362349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8.438377639751554</v>
      </c>
      <c r="C43" s="12"/>
      <c r="D43" s="39">
        <f>IF(OR(F26=0,F30=0),0,IF(F30&lt;0,(F26-F30)/(-F30)*50,(F26-F30)/(F30)*50))</f>
        <v>21.066846725185687</v>
      </c>
      <c r="E43" s="39">
        <f>IF(F18=0,(F19-F27)/F27*50,(F18-F27)/F27*50)</f>
        <v>9.316770186335404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269.0537084398977</v>
      </c>
      <c r="E44" s="39">
        <f>IF(G18=0,(G19-G27)/G27*50,(G18-G27)/G27*50)</f>
        <v>28.26932425862907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7605</v>
      </c>
      <c r="C2" s="99"/>
      <c r="D2" s="99" t="s">
        <v>95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354</v>
      </c>
      <c r="H3" s="15" t="s">
        <v>327</v>
      </c>
      <c r="I3" s="21" t="s">
        <v>8</v>
      </c>
      <c r="J3" s="58">
        <f>37900/8067</f>
        <v>4.698152968885584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12000</v>
      </c>
      <c r="F19" s="87">
        <v>574</v>
      </c>
      <c r="G19" s="86">
        <v>291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4.84</v>
      </c>
      <c r="K20" s="59">
        <v>41.5</v>
      </c>
      <c r="L20" s="41">
        <v>1536</v>
      </c>
      <c r="M20" s="41">
        <v>2831</v>
      </c>
      <c r="N20" s="41">
        <v>300</v>
      </c>
      <c r="O20" s="60">
        <v>8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4.702083</v>
      </c>
      <c r="K21" s="59">
        <v>39.3</v>
      </c>
      <c r="L21" s="41">
        <v>1452</v>
      </c>
      <c r="M21" s="41">
        <v>2515</v>
      </c>
      <c r="N21" s="41">
        <v>186</v>
      </c>
      <c r="O21" s="60">
        <v>8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4.702483</v>
      </c>
      <c r="K22" s="64">
        <v>41.1</v>
      </c>
      <c r="L22" s="41">
        <v>1559</v>
      </c>
      <c r="M22" s="41">
        <v>2424</v>
      </c>
      <c r="N22" s="41">
        <v>300</v>
      </c>
      <c r="O22" s="64">
        <v>8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6857</v>
      </c>
      <c r="F24" s="87">
        <v>659</v>
      </c>
      <c r="G24" s="86">
        <v>334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7087</v>
      </c>
      <c r="F25" s="83">
        <v>654</v>
      </c>
      <c r="G25" s="66">
        <v>379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3683</v>
      </c>
      <c r="F26" s="83">
        <v>431</v>
      </c>
      <c r="G26" s="66">
        <v>218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11383</v>
      </c>
      <c r="F27" s="65">
        <v>550</v>
      </c>
      <c r="G27" s="65">
        <v>170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12112.052221890719</v>
      </c>
      <c r="L27" s="41">
        <f>IF(OR(F38&lt;=0,F35&lt;=0,F26&lt;=0),IF(OR(F34&lt;=0,F31&lt;=0),IF(OR(F30&lt;=0,F27&lt;=0),0,F27/F30*F26),(F31/F34+F27/F30)/2*F26),(F35/F38+F31/F34+F27/F30)/3*F26)</f>
        <v>857.7094270295213</v>
      </c>
      <c r="M27" s="41">
        <f>IF(OR(G38&lt;=0,G35&lt;=0,G26&lt;=0),IF(OR(G34&lt;=0,G31&lt;=0),IF(OR(G30&lt;=0,G27&lt;=0),0,G27/G30*G26),(G31/G34+G27/G30)/2*G26),(G35/G38+G31/G34+G27/G30)/3*G26)</f>
        <v>276.88021244943917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9134</v>
      </c>
      <c r="F28" s="65">
        <v>606</v>
      </c>
      <c r="G28" s="65">
        <v>219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12260.533029933464</v>
      </c>
      <c r="L28" s="41">
        <f>IF(OR(F37&lt;=0,F35&lt;=0,F25&lt;=0),IF(OR(F33&lt;=0,F31&lt;=0),IF(OR(F29&lt;=0,F27&lt;=0),0,F27/F29*F25),(F31/F33+F27/F29)/2*F25),(F35/F37+F31/F33+F27/F29)/3*F25)</f>
        <v>592.9487303057597</v>
      </c>
      <c r="M28" s="41">
        <f>IF(OR(G37&lt;=0,G35&lt;=0,G25&lt;=0),IF(OR(G33&lt;=0,G31&lt;=0),IF(OR(G29&lt;=0,G27&lt;=0),0,G27/G29*G25),(G31/G33+G27/G29)/2*G25),(G35/G37+G31/G33+G27/G29)/3*G25)</f>
        <v>266.19733615240114</v>
      </c>
    </row>
    <row r="29" spans="1:13" ht="13.5" customHeight="1">
      <c r="A29" s="8"/>
      <c r="B29" s="102"/>
      <c r="C29" s="25" t="s">
        <v>18</v>
      </c>
      <c r="D29" s="81" t="s">
        <v>210</v>
      </c>
      <c r="E29" s="65">
        <v>6625</v>
      </c>
      <c r="F29" s="65">
        <v>646</v>
      </c>
      <c r="G29" s="65">
        <v>241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211</v>
      </c>
      <c r="E30" s="65">
        <v>3466</v>
      </c>
      <c r="F30" s="65">
        <v>267</v>
      </c>
      <c r="G30" s="65">
        <v>139</v>
      </c>
      <c r="H30" s="15"/>
      <c r="I30" s="105" t="s">
        <v>103</v>
      </c>
      <c r="J30" s="105"/>
      <c r="K30" s="41">
        <f>IF(E18=0,E19,E18)</f>
        <v>12000</v>
      </c>
      <c r="L30" s="41">
        <f>IF(F18=0,F19,F18)</f>
        <v>574</v>
      </c>
      <c r="M30" s="41">
        <f>IF(G18=0,G19,G18)</f>
        <v>291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10015</v>
      </c>
      <c r="F31" s="65">
        <v>459</v>
      </c>
      <c r="G31" s="65">
        <v>167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7896</v>
      </c>
      <c r="F32" s="65">
        <v>500</v>
      </c>
      <c r="G32" s="65">
        <v>217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212</v>
      </c>
      <c r="E33" s="65">
        <v>5758</v>
      </c>
      <c r="F33" s="65">
        <v>454</v>
      </c>
      <c r="G33" s="65">
        <v>191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213</v>
      </c>
      <c r="E34" s="65">
        <v>3300</v>
      </c>
      <c r="F34" s="65">
        <v>256</v>
      </c>
      <c r="G34" s="65">
        <v>129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9307</v>
      </c>
      <c r="F35" s="65">
        <v>307</v>
      </c>
      <c r="G35" s="65">
        <v>106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7447</v>
      </c>
      <c r="F36" s="65">
        <v>361</v>
      </c>
      <c r="G36" s="65">
        <v>202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214</v>
      </c>
      <c r="E37" s="65">
        <v>5372</v>
      </c>
      <c r="F37" s="65">
        <v>358</v>
      </c>
      <c r="G37" s="65">
        <v>201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215</v>
      </c>
      <c r="E38" s="65">
        <v>2624</v>
      </c>
      <c r="F38" s="65">
        <v>145</v>
      </c>
      <c r="G38" s="65">
        <v>82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241.53725464600814</v>
      </c>
      <c r="C41" s="39">
        <f>IF(B43&lt;=0,-100,IF((30-B43)*5&lt;-100,-100,(30-B43)*5))</f>
        <v>120.56082474226805</v>
      </c>
      <c r="D41" s="39">
        <f>IF(D42+D43+D44&lt;-20,-20,IF((D42+D43+D44)&gt;20,20,D42+D43+D44))</f>
        <v>20</v>
      </c>
      <c r="E41" s="39">
        <f>IF(E42+E43+E44&lt;-100,-100,IF(E42+E43+E44&gt;50,50,E42+E43+E44))</f>
        <v>40.48023532606321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0.0023824403385767183</v>
      </c>
      <c r="L41" s="39">
        <f>IF(N20/E27*100&gt;30,30,N20/E27*100)</f>
        <v>2.635509092506369</v>
      </c>
      <c r="M41" s="39">
        <f>IF((L20-M20)*50/E27&lt;-50,-50,IF((L20-M20)*50/E27&gt;30,30,(L20-M20)*50/E27))</f>
        <v>-5.68830712465958</v>
      </c>
      <c r="N41" s="39">
        <f>(K20-50)/2</f>
        <v>-4.25</v>
      </c>
      <c r="O41" s="39">
        <f>IF(O20=0,-30,((O20/G3)*100-1)*30)</f>
        <v>37.79661016949153</v>
      </c>
      <c r="P41" s="76">
        <f>G3*G4/1000</f>
        <v>35.4</v>
      </c>
    </row>
    <row r="42" spans="2:14" ht="13.5" customHeight="1">
      <c r="B42" s="29" t="s">
        <v>326</v>
      </c>
      <c r="C42" s="12"/>
      <c r="D42" s="39">
        <f>IF(OR(E26=0,E30=0),0,(E26-E30)/E30*100)</f>
        <v>6.260819388343912</v>
      </c>
      <c r="E42" s="39">
        <f>IF(E18=0,(E19-E27)/E27*50,(E18-E27)/E27*50)</f>
        <v>2.7101818501273827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5.887835051546391</v>
      </c>
      <c r="C43" s="12"/>
      <c r="D43" s="39">
        <f>IF(OR(F26=0,F30=0),0,IF(F30&lt;0,(F26-F30)/(-F30)*50,(F26-F30)/(F30)*50))</f>
        <v>30.711610486891384</v>
      </c>
      <c r="E43" s="39">
        <f>IF(F18=0,(F19-F27)/F27*50,(F18-F27)/F27*50)</f>
        <v>2.181818181818182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56.83453237410072</v>
      </c>
      <c r="E44" s="39">
        <f>IF(G18=0,(G19-G27)/G27*50,(G18-G27)/G27*50)</f>
        <v>35.588235294117645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4:K34"/>
    <mergeCell ref="L34:M34"/>
    <mergeCell ref="N34:O34"/>
    <mergeCell ref="P34:P35"/>
    <mergeCell ref="B35:B38"/>
    <mergeCell ref="E5:G5"/>
    <mergeCell ref="B7:B16"/>
    <mergeCell ref="B27:B30"/>
    <mergeCell ref="C17:C20"/>
    <mergeCell ref="C22:C25"/>
    <mergeCell ref="B17:B26"/>
    <mergeCell ref="C7:C10"/>
    <mergeCell ref="C12:C15"/>
    <mergeCell ref="J5:P5"/>
    <mergeCell ref="B2:C2"/>
    <mergeCell ref="D2:L2"/>
    <mergeCell ref="B31:B34"/>
    <mergeCell ref="K25:M25"/>
    <mergeCell ref="I30:J30"/>
    <mergeCell ref="I27:J27"/>
    <mergeCell ref="I28:J28"/>
    <mergeCell ref="I29:J29"/>
    <mergeCell ref="J33:P33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7640</v>
      </c>
      <c r="C2" s="99"/>
      <c r="D2" s="99" t="s">
        <v>72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375</v>
      </c>
      <c r="H3" s="15" t="s">
        <v>329</v>
      </c>
      <c r="I3" s="21" t="s">
        <v>8</v>
      </c>
      <c r="J3" s="58">
        <f>23400/1882</f>
        <v>12.433581296493092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31000</v>
      </c>
      <c r="F19" s="87">
        <v>1300</v>
      </c>
      <c r="G19" s="86">
        <v>747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12.688</v>
      </c>
      <c r="K20" s="59">
        <v>44.3</v>
      </c>
      <c r="L20" s="41">
        <v>2232</v>
      </c>
      <c r="M20" s="41">
        <v>3921</v>
      </c>
      <c r="N20" s="41"/>
      <c r="O20" s="60">
        <v>10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12.489335</v>
      </c>
      <c r="K21" s="59">
        <v>36.7</v>
      </c>
      <c r="L21" s="41">
        <v>1934</v>
      </c>
      <c r="M21" s="41">
        <v>3966</v>
      </c>
      <c r="N21" s="41">
        <v>880</v>
      </c>
      <c r="O21" s="60">
        <v>10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12.688</v>
      </c>
      <c r="K22" s="64">
        <v>43</v>
      </c>
      <c r="L22" s="41">
        <v>1784</v>
      </c>
      <c r="M22" s="41">
        <v>3667</v>
      </c>
      <c r="N22" s="41">
        <v>570</v>
      </c>
      <c r="O22" s="64">
        <v>10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16000</v>
      </c>
      <c r="F24" s="87">
        <v>757</v>
      </c>
      <c r="G24" s="86">
        <v>440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15255</v>
      </c>
      <c r="F25" s="83">
        <v>401</v>
      </c>
      <c r="G25" s="66">
        <v>234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7915</v>
      </c>
      <c r="F26" s="83">
        <v>261</v>
      </c>
      <c r="G26" s="66">
        <v>153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28166</v>
      </c>
      <c r="F27" s="65">
        <v>1123</v>
      </c>
      <c r="G27" s="65">
        <v>610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29141.636449015692</v>
      </c>
      <c r="L27" s="41">
        <f>IF(OR(F38&lt;=0,F35&lt;=0,F26&lt;=0),IF(OR(F34&lt;=0,F31&lt;=0),IF(OR(F30&lt;=0,F27&lt;=0),0,F27/F30*F26),(F31/F34+F27/F30)/2*F26),(F35/F38+F31/F34+F27/F30)/3*F26)</f>
        <v>524.6277908908547</v>
      </c>
      <c r="M27" s="41">
        <f>IF(OR(G38&lt;=0,G35&lt;=0,G26&lt;=0),IF(OR(G34&lt;=0,G31&lt;=0),IF(OR(G30&lt;=0,G27&lt;=0),0,G27/G30*G26),(G31/G34+G27/G30)/2*G26),(G35/G38+G31/G34+G27/G30)/3*G26)</f>
        <v>293.97825487054854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21224</v>
      </c>
      <c r="F28" s="65">
        <v>788</v>
      </c>
      <c r="G28" s="65">
        <v>415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29259.560370601634</v>
      </c>
      <c r="L28" s="41">
        <f>IF(OR(F37&lt;=0,F35&lt;=0,F25&lt;=0),IF(OR(F33&lt;=0,F31&lt;=0),IF(OR(F29&lt;=0,F27&lt;=0),0,F27/F29*F25),(F31/F33+F27/F29)/2*F25),(F35/F37+F31/F33+F27/F29)/3*F25)</f>
        <v>494.03116342796795</v>
      </c>
      <c r="M28" s="41">
        <f>IF(OR(G37&lt;=0,G35&lt;=0,G25&lt;=0),IF(OR(G33&lt;=0,G31&lt;=0),IF(OR(G29&lt;=0,G27&lt;=0),0,G27/G29*G25),(G31/G33+G27/G29)/2*G25),(G35/G37+G31/G33+G27/G29)/3*G25)</f>
        <v>270.8045625994092</v>
      </c>
    </row>
    <row r="29" spans="1:13" ht="13.5" customHeight="1">
      <c r="A29" s="8"/>
      <c r="B29" s="102"/>
      <c r="C29" s="25" t="s">
        <v>18</v>
      </c>
      <c r="D29" s="81" t="s">
        <v>204</v>
      </c>
      <c r="E29" s="65">
        <v>14794</v>
      </c>
      <c r="F29" s="65">
        <v>705</v>
      </c>
      <c r="G29" s="65">
        <v>375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205</v>
      </c>
      <c r="E30" s="65">
        <v>7700</v>
      </c>
      <c r="F30" s="65">
        <v>441</v>
      </c>
      <c r="G30" s="65">
        <v>251</v>
      </c>
      <c r="H30" s="15"/>
      <c r="I30" s="105" t="s">
        <v>103</v>
      </c>
      <c r="J30" s="105"/>
      <c r="K30" s="41">
        <f>IF(E18=0,E19,E18)</f>
        <v>31000</v>
      </c>
      <c r="L30" s="41">
        <f>IF(F18=0,F19,F18)</f>
        <v>1300</v>
      </c>
      <c r="M30" s="41">
        <f>IF(G18=0,G19,G18)</f>
        <v>747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26609</v>
      </c>
      <c r="F31" s="65">
        <v>968</v>
      </c>
      <c r="G31" s="65">
        <v>572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20084</v>
      </c>
      <c r="F32" s="65">
        <v>744</v>
      </c>
      <c r="G32" s="65">
        <v>449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206</v>
      </c>
      <c r="E33" s="65">
        <v>13865</v>
      </c>
      <c r="F33" s="65">
        <v>523</v>
      </c>
      <c r="G33" s="65">
        <v>324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207</v>
      </c>
      <c r="E34" s="65">
        <v>7149</v>
      </c>
      <c r="F34" s="65">
        <v>311</v>
      </c>
      <c r="G34" s="65">
        <v>177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22858</v>
      </c>
      <c r="F35" s="65">
        <v>85</v>
      </c>
      <c r="G35" s="65">
        <v>13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17171</v>
      </c>
      <c r="F36" s="65">
        <v>425</v>
      </c>
      <c r="G36" s="65">
        <v>223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208</v>
      </c>
      <c r="E37" s="65">
        <v>11837</v>
      </c>
      <c r="F37" s="65">
        <v>337</v>
      </c>
      <c r="G37" s="65">
        <v>163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209</v>
      </c>
      <c r="E38" s="65">
        <v>6236</v>
      </c>
      <c r="F38" s="65">
        <v>229</v>
      </c>
      <c r="G38" s="65">
        <v>127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136.64525297971002</v>
      </c>
      <c r="C41" s="39">
        <f>IF(B43&lt;=0,-100,IF((30-B43)*5&lt;-100,-100,(30-B43)*5))</f>
        <v>118.15261044176707</v>
      </c>
      <c r="D41" s="39">
        <f>IF(D42+D43+D44&lt;-20,-20,IF((D42+D43+D44)&gt;20,20,D42+D43+D44))</f>
        <v>-20</v>
      </c>
      <c r="E41" s="39">
        <f>IF(E42+E43+E44&lt;-100,-100,IF(E42+E43+E44&gt;50,50,E42+E43+E44))</f>
        <v>24.141073260452053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0.19986509514340076</v>
      </c>
      <c r="L41" s="39">
        <f>IF(N20/E27*100&gt;30,30,N20/E27*100)</f>
        <v>0</v>
      </c>
      <c r="M41" s="39">
        <f>IF((L20-M20)*50/E27&lt;-50,-50,IF((L20-M20)*50/E27&gt;30,30,(L20-M20)*50/E27))</f>
        <v>-2.998295817652489</v>
      </c>
      <c r="N41" s="39">
        <f>(K20-50)/2</f>
        <v>-2.8500000000000014</v>
      </c>
      <c r="O41" s="39">
        <f>IF(O20=0,-30,((O20/G3)*100-1)*30)</f>
        <v>50.00000000000001</v>
      </c>
      <c r="P41" s="76">
        <f>G3*G4/1000</f>
        <v>37.5</v>
      </c>
    </row>
    <row r="42" spans="2:14" ht="13.5" customHeight="1">
      <c r="B42" s="29" t="s">
        <v>326</v>
      </c>
      <c r="C42" s="12"/>
      <c r="D42" s="39">
        <f>IF(OR(E26=0,E30=0),0,(E26-E30)/E30*100)</f>
        <v>2.792207792207792</v>
      </c>
      <c r="E42" s="39">
        <f>IF(E18=0,(E19-E27)/E27*50,(E18-E27)/E27*50)</f>
        <v>5.030888305048641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6.3694779116465865</v>
      </c>
      <c r="C43" s="12"/>
      <c r="D43" s="39">
        <f>IF(OR(F26=0,F30=0),0,IF(F30&lt;0,(F26-F30)/(-F30)*50,(F26-F30)/(F30)*50))</f>
        <v>-20.408163265306122</v>
      </c>
      <c r="E43" s="39">
        <f>IF(F18=0,(F19-F27)/F27*50,(F18-F27)/F27*50)</f>
        <v>7.8806767586821005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-39.04382470119522</v>
      </c>
      <c r="E44" s="39">
        <f>IF(G18=0,(G19-G27)/G27*50,(G18-G27)/G27*50)</f>
        <v>11.229508196721312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7827</v>
      </c>
      <c r="C2" s="99"/>
      <c r="D2" s="99" t="s">
        <v>71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1130</v>
      </c>
      <c r="H3" s="15" t="s">
        <v>327</v>
      </c>
      <c r="I3" s="21" t="s">
        <v>8</v>
      </c>
      <c r="J3" s="58">
        <f>23900/13854</f>
        <v>1.7251335354410278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11011</v>
      </c>
      <c r="F19" s="87">
        <v>343</v>
      </c>
      <c r="G19" s="86">
        <v>198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1.732</v>
      </c>
      <c r="K20" s="59">
        <v>32.1</v>
      </c>
      <c r="L20" s="41">
        <v>2156</v>
      </c>
      <c r="M20" s="41">
        <v>4909</v>
      </c>
      <c r="N20" s="41"/>
      <c r="O20" s="60">
        <v>25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1.731863</v>
      </c>
      <c r="K21" s="59"/>
      <c r="L21" s="41"/>
      <c r="M21" s="41"/>
      <c r="N21" s="41">
        <v>843</v>
      </c>
      <c r="O21" s="60">
        <v>25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0.444</v>
      </c>
      <c r="K22" s="64">
        <v>23.4</v>
      </c>
      <c r="L22" s="41">
        <v>2046</v>
      </c>
      <c r="M22" s="41">
        <v>5872</v>
      </c>
      <c r="N22" s="41">
        <v>345</v>
      </c>
      <c r="O22" s="64">
        <v>60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5508</v>
      </c>
      <c r="F24" s="87">
        <v>305</v>
      </c>
      <c r="G24" s="86">
        <v>180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5220</v>
      </c>
      <c r="F25" s="83">
        <v>403</v>
      </c>
      <c r="G25" s="66">
        <v>239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2606</v>
      </c>
      <c r="F26" s="83">
        <v>174</v>
      </c>
      <c r="G26" s="66">
        <v>105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10416</v>
      </c>
      <c r="F27" s="65">
        <v>527</v>
      </c>
      <c r="G27" s="65">
        <v>142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11295.920099875157</v>
      </c>
      <c r="L27" s="41">
        <f>IF(OR(F38&lt;=0,F35&lt;=0,F26&lt;=0),IF(OR(F34&lt;=0,F31&lt;=0),IF(OR(F30&lt;=0,F27&lt;=0),0,F27/F30*F26),(F31/F34+F27/F30)/2*F26),(F35/F38+F31/F34+F27/F30)/3*F26)</f>
        <v>628.068493150685</v>
      </c>
      <c r="M27" s="41">
        <f>IF(OR(G38&lt;=0,G35&lt;=0,G26&lt;=0),IF(OR(G34&lt;=0,G31&lt;=0),IF(OR(G30&lt;=0,G27&lt;=0),0,G27/G30*G26),(G31/G34+G27/G30)/2*G26),(G35/G38+G31/G34+G27/G30)/3*G26)</f>
        <v>181.8292682926829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7902</v>
      </c>
      <c r="F28" s="65">
        <v>437</v>
      </c>
      <c r="G28" s="65">
        <v>116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10309.751249653886</v>
      </c>
      <c r="L28" s="41">
        <f>IF(OR(F37&lt;=0,F35&lt;=0,F25&lt;=0),IF(OR(F33&lt;=0,F31&lt;=0),IF(OR(F29&lt;=0,F27&lt;=0),0,F27/F29*F25),(F31/F33+F27/F29)/2*F25),(F35/F37+F31/F33+F27/F29)/3*F25)</f>
        <v>692.2064152159896</v>
      </c>
      <c r="M28" s="41">
        <f>IF(OR(G37&lt;=0,G35&lt;=0,G25&lt;=0),IF(OR(G33&lt;=0,G31&lt;=0),IF(OR(G29&lt;=0,G27&lt;=0),0,G27/G29*G25),(G31/G33+G27/G29)/2*G25),(G35/G37+G31/G33+G27/G29)/3*G25)</f>
        <v>616.8232194767443</v>
      </c>
    </row>
    <row r="29" spans="1:13" ht="13.5" customHeight="1">
      <c r="A29" s="8"/>
      <c r="B29" s="102"/>
      <c r="C29" s="25" t="s">
        <v>18</v>
      </c>
      <c r="D29" s="81" t="s">
        <v>198</v>
      </c>
      <c r="E29" s="65">
        <v>5140</v>
      </c>
      <c r="F29" s="65">
        <v>330</v>
      </c>
      <c r="G29" s="65">
        <v>43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199</v>
      </c>
      <c r="E30" s="65">
        <v>2403</v>
      </c>
      <c r="F30" s="65">
        <v>146</v>
      </c>
      <c r="G30" s="65">
        <v>82</v>
      </c>
      <c r="H30" s="15"/>
      <c r="I30" s="105" t="s">
        <v>103</v>
      </c>
      <c r="J30" s="105"/>
      <c r="K30" s="41">
        <f>IF(E18=0,E19,E18)</f>
        <v>11011</v>
      </c>
      <c r="L30" s="41">
        <f>IF(F18=0,F19,F18)</f>
        <v>343</v>
      </c>
      <c r="M30" s="41">
        <f>IF(G18=0,G19,G18)</f>
        <v>198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9245</v>
      </c>
      <c r="F31" s="65">
        <v>432</v>
      </c>
      <c r="G31" s="65">
        <v>238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6921</v>
      </c>
      <c r="F32" s="65">
        <v>332</v>
      </c>
      <c r="G32" s="65">
        <v>182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200</v>
      </c>
      <c r="E33" s="65">
        <v>4806</v>
      </c>
      <c r="F33" s="65">
        <v>235</v>
      </c>
      <c r="G33" s="65">
        <v>128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201</v>
      </c>
      <c r="E34" s="65"/>
      <c r="F34" s="65"/>
      <c r="G34" s="65"/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9507</v>
      </c>
      <c r="F35" s="65">
        <v>558</v>
      </c>
      <c r="G35" s="65">
        <v>352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/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202</v>
      </c>
      <c r="E37" s="65"/>
      <c r="F37" s="65"/>
      <c r="G37" s="65"/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203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169.90745364157843</v>
      </c>
      <c r="C41" s="39">
        <f>IF(B43&lt;=0,-100,IF((30-B43)*5&lt;-100,-100,(30-B43)*5))</f>
        <v>100.57676767676767</v>
      </c>
      <c r="D41" s="39">
        <f>IF(D42+D43+D44&lt;-20,-20,IF((D42+D43+D44)&gt;20,20,D42+D43+D44))</f>
        <v>20</v>
      </c>
      <c r="E41" s="39">
        <f>IF(E42+E43+E44&lt;-100,-100,IF(E42+E43+E44&gt;50,50,E42+E43+E44))</f>
        <v>5.117187152007553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0.007063172603649257</v>
      </c>
      <c r="L41" s="39">
        <f>IF(N20/E27*100&gt;30,30,N20/E27*100)</f>
        <v>0</v>
      </c>
      <c r="M41" s="39">
        <f>IF((L20-M20)*50/E27&lt;-50,-50,IF((L20-M20)*50/E27&gt;30,30,(L20-M20)*50/E27))</f>
        <v>-13.215245775729647</v>
      </c>
      <c r="N41" s="39">
        <f>(K20-50)/2</f>
        <v>-8.95</v>
      </c>
      <c r="O41" s="39">
        <f>IF(O20=0,-30,((O20/G3)*100-1)*30)</f>
        <v>36.3716814159292</v>
      </c>
      <c r="P41" s="76">
        <f>G3*G4/1000</f>
        <v>113</v>
      </c>
    </row>
    <row r="42" spans="2:14" ht="13.5" customHeight="1">
      <c r="B42" s="29" t="s">
        <v>326</v>
      </c>
      <c r="C42" s="12"/>
      <c r="D42" s="39">
        <f>IF(OR(E26=0,E30=0),0,(E26-E30)/E30*100)</f>
        <v>8.447773616312942</v>
      </c>
      <c r="E42" s="39">
        <f>IF(E18=0,(E19-E27)/E27*50,(E18-E27)/E27*50)</f>
        <v>2.8561827956989245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9.884646464646465</v>
      </c>
      <c r="C43" s="12"/>
      <c r="D43" s="39">
        <f>IF(OR(F26=0,F30=0),0,IF(F30&lt;0,(F26-F30)/(-F30)*50,(F26-F30)/(F30)*50))</f>
        <v>9.58904109589041</v>
      </c>
      <c r="E43" s="39">
        <f>IF(F18=0,(F19-F27)/F27*50,(F18-F27)/F27*50)</f>
        <v>-17.4573055028463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28.04878048780488</v>
      </c>
      <c r="E44" s="39">
        <f>IF(G18=0,(G19-G27)/G27*50,(G18-G27)/G27*50)</f>
        <v>19.718309859154928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4:K34"/>
    <mergeCell ref="L34:M34"/>
    <mergeCell ref="N34:O34"/>
    <mergeCell ref="P34:P35"/>
    <mergeCell ref="B35:B38"/>
    <mergeCell ref="E5:G5"/>
    <mergeCell ref="B7:B16"/>
    <mergeCell ref="B27:B30"/>
    <mergeCell ref="C17:C20"/>
    <mergeCell ref="C22:C25"/>
    <mergeCell ref="B17:B26"/>
    <mergeCell ref="C7:C10"/>
    <mergeCell ref="C12:C15"/>
    <mergeCell ref="J5:P5"/>
    <mergeCell ref="B2:C2"/>
    <mergeCell ref="D2:L2"/>
    <mergeCell ref="B31:B34"/>
    <mergeCell ref="K25:M25"/>
    <mergeCell ref="I30:J30"/>
    <mergeCell ref="I27:J27"/>
    <mergeCell ref="I28:J28"/>
    <mergeCell ref="I29:J29"/>
    <mergeCell ref="J33:P33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7831</v>
      </c>
      <c r="C2" s="99"/>
      <c r="D2" s="99" t="s">
        <v>96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150</v>
      </c>
      <c r="H3" s="15" t="s">
        <v>327</v>
      </c>
      <c r="I3" s="21" t="s">
        <v>8</v>
      </c>
      <c r="J3" s="58">
        <f>700/30</f>
        <v>23.333333333333332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26600</v>
      </c>
      <c r="F18" s="87">
        <v>360</v>
      </c>
      <c r="G18" s="86">
        <v>60</v>
      </c>
      <c r="H18" s="15" t="s">
        <v>334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25900</v>
      </c>
      <c r="F19" s="87">
        <v>490</v>
      </c>
      <c r="G19" s="86">
        <v>230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14/0.58</f>
        <v>24.13793103448276</v>
      </c>
      <c r="K20" s="59">
        <v>42.5</v>
      </c>
      <c r="L20" s="41">
        <v>4134</v>
      </c>
      <c r="M20" s="41">
        <v>2379</v>
      </c>
      <c r="N20" s="41">
        <v>1159</v>
      </c>
      <c r="O20" s="60">
        <v>4.5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24.6508</v>
      </c>
      <c r="K21" s="59">
        <v>30.7</v>
      </c>
      <c r="L21" s="41">
        <v>3989</v>
      </c>
      <c r="M21" s="41">
        <v>4003</v>
      </c>
      <c r="N21" s="41">
        <v>1139</v>
      </c>
      <c r="O21" s="60">
        <v>4.5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12.3254</v>
      </c>
      <c r="K22" s="64">
        <v>37.3</v>
      </c>
      <c r="L22" s="41">
        <v>4243</v>
      </c>
      <c r="M22" s="41">
        <v>3374</v>
      </c>
      <c r="N22" s="41">
        <v>1108</v>
      </c>
      <c r="O22" s="64">
        <v>9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12400</v>
      </c>
      <c r="F24" s="87">
        <v>100</v>
      </c>
      <c r="G24" s="86">
        <v>10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12666</v>
      </c>
      <c r="F25" s="83">
        <v>95</v>
      </c>
      <c r="G25" s="66">
        <v>-7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6050</v>
      </c>
      <c r="F26" s="83">
        <v>7</v>
      </c>
      <c r="G26" s="66">
        <v>-14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24119</v>
      </c>
      <c r="F27" s="65">
        <v>57</v>
      </c>
      <c r="G27" s="65">
        <v>174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22906.05978110777</v>
      </c>
      <c r="L27" s="41">
        <f>IF(OR(F38&lt;=0,F35&lt;=0,F26&lt;=0),IF(OR(F34&lt;=0,F31&lt;=0),IF(OR(F30&lt;=0,F27&lt;=0),0,F27/F30*F26),(F31/F34+F27/F30)/2*F26),(F35/F38+F31/F34+F27/F30)/3*F26)</f>
        <v>6.045454545454546</v>
      </c>
      <c r="M27" s="41">
        <f>IF(OR(G38&lt;=0,G35&lt;=0,G26&lt;=0),IF(OR(G34&lt;=0,G31&lt;=0),IF(OR(G30&lt;=0,G27&lt;=0),0,G27/G30*G26),(G31/G34+G27/G30)/2*G26),(G35/G38+G31/G34+G27/G30)/3*G26)</f>
        <v>-53.04085908852802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17920</v>
      </c>
      <c r="F28" s="65">
        <v>50</v>
      </c>
      <c r="G28" s="65">
        <v>-254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24924.660033433644</v>
      </c>
      <c r="L28" s="41">
        <f>IF(OR(F37&lt;=0,F35&lt;=0,F25&lt;=0),IF(OR(F33&lt;=0,F31&lt;=0),IF(OR(F29&lt;=0,F27&lt;=0),0,F27/F29*F25),(F31/F33+F27/F29)/2*F25),(F35/F37+F31/F33+F27/F29)/3*F25)</f>
        <v>-40.658591892041365</v>
      </c>
      <c r="M28" s="41">
        <f>IF(OR(G37&lt;=0,G35&lt;=0,G25&lt;=0),IF(OR(G33&lt;=0,G31&lt;=0),IF(OR(G29&lt;=0,G27&lt;=0),0,G27/G29*G25),(G31/G33+G27/G29)/2*G25),(G35/G37+G31/G33+G27/G29)/3*G25)</f>
        <v>2.052126077906631</v>
      </c>
    </row>
    <row r="29" spans="1:13" ht="13.5" customHeight="1">
      <c r="A29" s="8"/>
      <c r="B29" s="102"/>
      <c r="C29" s="25" t="s">
        <v>18</v>
      </c>
      <c r="D29" s="81" t="s">
        <v>192</v>
      </c>
      <c r="E29" s="65">
        <v>11991</v>
      </c>
      <c r="F29" s="65">
        <v>-10</v>
      </c>
      <c r="G29" s="65">
        <v>-295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193</v>
      </c>
      <c r="E30" s="65">
        <v>6088</v>
      </c>
      <c r="F30" s="65">
        <v>66</v>
      </c>
      <c r="G30" s="65">
        <v>23</v>
      </c>
      <c r="H30" s="15"/>
      <c r="I30" s="105" t="s">
        <v>103</v>
      </c>
      <c r="J30" s="105"/>
      <c r="K30" s="41">
        <f>IF(E18=0,E19,E18)</f>
        <v>26600</v>
      </c>
      <c r="L30" s="41">
        <f>IF(F18=0,F19,F18)</f>
        <v>360</v>
      </c>
      <c r="M30" s="41">
        <f>IF(G18=0,G19,G18)</f>
        <v>60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24223</v>
      </c>
      <c r="F31" s="65">
        <v>-739</v>
      </c>
      <c r="G31" s="65">
        <v>1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18842</v>
      </c>
      <c r="F32" s="65">
        <v>-539</v>
      </c>
      <c r="G32" s="65">
        <v>135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194</v>
      </c>
      <c r="E33" s="65">
        <v>13201</v>
      </c>
      <c r="F33" s="65">
        <v>-294</v>
      </c>
      <c r="G33" s="65">
        <v>285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195</v>
      </c>
      <c r="E34" s="65">
        <v>6709</v>
      </c>
      <c r="F34" s="65">
        <v>115</v>
      </c>
      <c r="G34" s="65">
        <v>83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27749</v>
      </c>
      <c r="F35" s="65">
        <v>858</v>
      </c>
      <c r="G35" s="65">
        <v>528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/>
      <c r="F36" s="65"/>
      <c r="G36" s="65"/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196</v>
      </c>
      <c r="E37" s="65">
        <v>13489</v>
      </c>
      <c r="F37" s="65">
        <v>451</v>
      </c>
      <c r="G37" s="65">
        <v>274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197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-132.95978035087845</v>
      </c>
      <c r="C41" s="39">
        <f>IF(B43&lt;=0,-100,IF((30-B43)*5&lt;-100,-100,(30-B43)*5))</f>
        <v>-100</v>
      </c>
      <c r="D41" s="39">
        <f>IF(D42+D43+D44&lt;-20,-20,IF((D42+D43+D44)&gt;20,20,D42+D43+D44))</f>
        <v>-20</v>
      </c>
      <c r="E41" s="39">
        <f>IF(E42+E43+E44&lt;-100,-100,IF(E42+E43+E44&gt;50,50,E42+E43+E44))</f>
        <v>50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-97.74095302045612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0.08762194193555407</v>
      </c>
      <c r="L41" s="39">
        <f>IF(N20/E27*100&gt;30,30,N20/E27*100)</f>
        <v>4.805340188233343</v>
      </c>
      <c r="M41" s="39">
        <f>IF((L20-M20)*50/E27&lt;-50,-50,IF((L20-M20)*50/E27&gt;30,30,(L20-M20)*50/E27))</f>
        <v>3.6382105394087647</v>
      </c>
      <c r="N41" s="39">
        <f>(K20-50)/2</f>
        <v>-3.75</v>
      </c>
      <c r="O41" s="39">
        <f>IF(O20=0,-30,((O20/G3)*100-1)*30)</f>
        <v>60</v>
      </c>
      <c r="P41" s="76">
        <f>G3*G4/1000</f>
        <v>150</v>
      </c>
    </row>
    <row r="42" spans="2:14" ht="13.5" customHeight="1">
      <c r="B42" s="29" t="s">
        <v>326</v>
      </c>
      <c r="C42" s="12"/>
      <c r="D42" s="39">
        <f>IF(OR(E26=0,E30=0),0,(E26-E30)/E30*100)</f>
        <v>-0.6241787122207622</v>
      </c>
      <c r="E42" s="39">
        <f>IF(E18=0,(E19-E27)/E27*50,(E18-E27)/E27*50)</f>
        <v>5.1432480616941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2.7027027027027026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60.344827586206904</v>
      </c>
      <c r="C43" s="12"/>
      <c r="D43" s="39">
        <f>IF(OR(F26=0,F30=0),0,IF(F30&lt;0,(F26-F30)/(-F30)*50,(F26-F30)/(F30)*50))</f>
        <v>-44.696969696969695</v>
      </c>
      <c r="E43" s="39">
        <f>IF(F18=0,(F19-F27)/F27*50,(F18-F27)/F27*50)</f>
        <v>265.7894736842105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-26.53061224489796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-160.8695652173913</v>
      </c>
      <c r="E44" s="39">
        <f>IF(G18=0,(G19-G27)/G27*50,(G18-G27)/G27*50)</f>
        <v>-32.758620689655174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-73.91304347826086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7856</v>
      </c>
      <c r="C2" s="99"/>
      <c r="D2" s="99" t="s">
        <v>70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888</v>
      </c>
      <c r="H3" s="15" t="s">
        <v>327</v>
      </c>
      <c r="I3" s="21" t="s">
        <v>8</v>
      </c>
      <c r="J3" s="58">
        <f>49700/8303</f>
        <v>5.985788269300253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24000</v>
      </c>
      <c r="F19" s="87">
        <v>1750</v>
      </c>
      <c r="G19" s="86">
        <v>980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257/42.88</f>
        <v>5.993470149253731</v>
      </c>
      <c r="K20" s="59">
        <v>36.9</v>
      </c>
      <c r="L20" s="41">
        <v>5760</v>
      </c>
      <c r="M20" s="41">
        <v>6060</v>
      </c>
      <c r="N20" s="41">
        <v>1310</v>
      </c>
      <c r="O20" s="60">
        <v>20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5.9932</v>
      </c>
      <c r="K21" s="59">
        <v>31.7</v>
      </c>
      <c r="L21" s="41">
        <v>5001</v>
      </c>
      <c r="M21" s="41">
        <v>6997</v>
      </c>
      <c r="N21" s="41">
        <v>653</v>
      </c>
      <c r="O21" s="60">
        <v>20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5.79929</v>
      </c>
      <c r="K22" s="64">
        <v>34.8</v>
      </c>
      <c r="L22" s="41">
        <v>5266</v>
      </c>
      <c r="M22" s="41">
        <v>6545</v>
      </c>
      <c r="N22" s="41">
        <v>520</v>
      </c>
      <c r="O22" s="64">
        <v>15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11700</v>
      </c>
      <c r="F24" s="87">
        <v>810</v>
      </c>
      <c r="G24" s="86">
        <v>460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11484</v>
      </c>
      <c r="F25" s="83">
        <v>924</v>
      </c>
      <c r="G25" s="66">
        <v>497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5728</v>
      </c>
      <c r="F26" s="83">
        <v>436</v>
      </c>
      <c r="G26" s="66">
        <v>257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23467</v>
      </c>
      <c r="F27" s="65">
        <v>1604</v>
      </c>
      <c r="G27" s="65">
        <v>840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23566.189068209544</v>
      </c>
      <c r="L27" s="41">
        <f>IF(OR(F38&lt;=0,F35&lt;=0,F26&lt;=0),IF(OR(F34&lt;=0,F31&lt;=0),IF(OR(F30&lt;=0,F27&lt;=0),0,F27/F30*F26),(F31/F34+F27/F30)/2*F26),(F35/F38+F31/F34+F27/F30)/3*F26)</f>
        <v>1538.4470552474477</v>
      </c>
      <c r="M27" s="41">
        <f>IF(OR(G38&lt;=0,G35&lt;=0,G26&lt;=0),IF(OR(G34&lt;=0,G31&lt;=0),IF(OR(G30&lt;=0,G27&lt;=0),0,G27/G30*G26),(G31/G34+G27/G30)/2*G26),(G35/G38+G31/G34+G27/G30)/3*G26)</f>
        <v>1338.4168068448819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17503</v>
      </c>
      <c r="F28" s="65">
        <v>1319</v>
      </c>
      <c r="G28" s="65">
        <v>696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23547.44239629105</v>
      </c>
      <c r="L28" s="41">
        <f>IF(OR(F37&lt;=0,F35&lt;=0,F25&lt;=0),IF(OR(F33&lt;=0,F31&lt;=0),IF(OR(F29&lt;=0,F27&lt;=0),0,F27/F29*F25),(F31/F33+F27/F29)/2*F25),(F35/F37+F31/F33+F27/F29)/3*F25)</f>
        <v>1726.65454915311</v>
      </c>
      <c r="M28" s="41">
        <f>IF(OR(G37&lt;=0,G35&lt;=0,G25&lt;=0),IF(OR(G33&lt;=0,G31&lt;=0),IF(OR(G29&lt;=0,G27&lt;=0),0,G27/G29*G25),(G31/G33+G27/G29)/2*G25),(G35/G37+G31/G33+G27/G29)/3*G25)</f>
        <v>1217.438372717508</v>
      </c>
    </row>
    <row r="29" spans="1:13" ht="13.5" customHeight="1">
      <c r="A29" s="8"/>
      <c r="B29" s="102"/>
      <c r="C29" s="25" t="s">
        <v>18</v>
      </c>
      <c r="D29" s="81" t="s">
        <v>188</v>
      </c>
      <c r="E29" s="65">
        <v>11510</v>
      </c>
      <c r="F29" s="65">
        <v>920</v>
      </c>
      <c r="G29" s="65">
        <v>490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189</v>
      </c>
      <c r="E30" s="65">
        <v>5791</v>
      </c>
      <c r="F30" s="65">
        <v>517</v>
      </c>
      <c r="G30" s="65">
        <v>309</v>
      </c>
      <c r="H30" s="15"/>
      <c r="I30" s="105" t="s">
        <v>103</v>
      </c>
      <c r="J30" s="105"/>
      <c r="K30" s="41">
        <f>IF(E18=0,E19,E18)</f>
        <v>24000</v>
      </c>
      <c r="L30" s="41">
        <f>IF(F18=0,F19,F18)</f>
        <v>1750</v>
      </c>
      <c r="M30" s="41">
        <f>IF(G18=0,G19,G18)</f>
        <v>980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22585</v>
      </c>
      <c r="F31" s="65">
        <v>1410</v>
      </c>
      <c r="G31" s="65">
        <v>587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16638</v>
      </c>
      <c r="F32" s="65">
        <v>1066</v>
      </c>
      <c r="G32" s="65">
        <v>360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190</v>
      </c>
      <c r="E33" s="65">
        <v>10891</v>
      </c>
      <c r="F33" s="65">
        <v>676</v>
      </c>
      <c r="G33" s="65">
        <v>152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191</v>
      </c>
      <c r="E34" s="65">
        <v>5406</v>
      </c>
      <c r="F34" s="65">
        <v>404</v>
      </c>
      <c r="G34" s="65">
        <v>73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21122</v>
      </c>
      <c r="F35" s="65">
        <v>1146</v>
      </c>
      <c r="G35" s="65">
        <v>608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15531</v>
      </c>
      <c r="F36" s="65">
        <v>993</v>
      </c>
      <c r="G36" s="65">
        <v>512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40</v>
      </c>
      <c r="E37" s="65">
        <v>10360</v>
      </c>
      <c r="F37" s="65">
        <v>645</v>
      </c>
      <c r="G37" s="65">
        <v>343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39</v>
      </c>
      <c r="E38" s="65">
        <v>5136</v>
      </c>
      <c r="F38" s="65">
        <v>287</v>
      </c>
      <c r="G38" s="65">
        <v>125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141.0150400359373</v>
      </c>
      <c r="C41" s="39">
        <f>IF(B43&lt;=0,-100,IF((30-B43)*5&lt;-100,-100,(30-B43)*5))</f>
        <v>122.84591075236065</v>
      </c>
      <c r="D41" s="39">
        <f>IF(D42+D43+D44&lt;-20,-20,IF((D42+D43+D44)&gt;20,20,D42+D43+D44))</f>
        <v>-20</v>
      </c>
      <c r="E41" s="39">
        <f>IF(E42+E43+E44&lt;-100,-100,IF(E42+E43+E44&gt;50,50,E42+E43+E44))</f>
        <v>14.020092805726623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-12.088739700145847</v>
      </c>
      <c r="J41" s="39">
        <f>IF(J42+J43+J44&gt;20,20,IF(J42+J43+J44&lt;-50,-50,J42+J43+J44))</f>
        <v>0</v>
      </c>
      <c r="K41" s="39">
        <f>POWER(LOG(J3*G3/1000),4)</f>
        <v>0.27709700689993233</v>
      </c>
      <c r="L41" s="39">
        <f>IF(N20/E27*100&gt;30,30,N20/E27*100)</f>
        <v>5.582307069501854</v>
      </c>
      <c r="M41" s="39">
        <f>IF((L20-M20)*50/E27&lt;-50,-50,IF((L20-M20)*50/E27&gt;30,30,(L20-M20)*50/E27))</f>
        <v>-0.6391954659734947</v>
      </c>
      <c r="N41" s="39">
        <f>(K20-50)/2</f>
        <v>-6.550000000000001</v>
      </c>
      <c r="O41" s="39">
        <f>IF(O20=0,-30,((O20/G3)*100-1)*30)</f>
        <v>37.56756756756757</v>
      </c>
      <c r="P41" s="76">
        <f>G3*G4/1000</f>
        <v>88.8</v>
      </c>
    </row>
    <row r="42" spans="2:14" ht="13.5" customHeight="1">
      <c r="B42" s="29" t="s">
        <v>326</v>
      </c>
      <c r="C42" s="12"/>
      <c r="D42" s="39">
        <f>IF(OR(E26=0,E30=0),0,(E26-E30)/E30*100)</f>
        <v>-1.0878950094974962</v>
      </c>
      <c r="E42" s="39">
        <f>IF(E18=0,(E19-E27)/E27*50,(E18-E27)/E27*50)</f>
        <v>1.1356372778795756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5.43081784952787</v>
      </c>
      <c r="C43" s="12"/>
      <c r="D43" s="39">
        <f>IF(OR(F26=0,F30=0),0,IF(F30&lt;0,(F26-F30)/(-F30)*50,(F26-F30)/(F30)*50))</f>
        <v>-7.833655705996131</v>
      </c>
      <c r="E43" s="39">
        <f>IF(F18=0,(F19-F27)/F27*50,(F18-F27)/F27*50)</f>
        <v>4.551122194513716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-16.828478964401295</v>
      </c>
      <c r="E44" s="39">
        <f>IF(G18=0,(G19-G27)/G27*50,(G18-G27)/G27*50)</f>
        <v>8.333333333333332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7959</v>
      </c>
      <c r="C2" s="99"/>
      <c r="D2" s="99" t="s">
        <v>69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1511</v>
      </c>
      <c r="H3" s="15" t="s">
        <v>327</v>
      </c>
      <c r="I3" s="21" t="s">
        <v>8</v>
      </c>
      <c r="J3" s="58">
        <v>13.126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23200</v>
      </c>
      <c r="F19" s="87">
        <v>2800</v>
      </c>
      <c r="G19" s="86">
        <v>1000</v>
      </c>
      <c r="H19" s="15"/>
      <c r="I19" s="23"/>
      <c r="J19" s="61">
        <f>183/14.35</f>
        <v>12.75261324041812</v>
      </c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13.126</v>
      </c>
      <c r="K20" s="59">
        <v>61.8</v>
      </c>
      <c r="L20" s="41">
        <v>6095</v>
      </c>
      <c r="M20" s="41">
        <v>2295</v>
      </c>
      <c r="N20" s="41">
        <v>500</v>
      </c>
      <c r="O20" s="60">
        <v>15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12.91687</v>
      </c>
      <c r="K21" s="59">
        <v>60</v>
      </c>
      <c r="L21" s="41">
        <v>5255</v>
      </c>
      <c r="M21" s="41">
        <v>2710</v>
      </c>
      <c r="N21" s="41">
        <v>794</v>
      </c>
      <c r="O21" s="60">
        <v>15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13.161967</v>
      </c>
      <c r="K22" s="64">
        <v>62</v>
      </c>
      <c r="L22" s="41">
        <v>5489</v>
      </c>
      <c r="M22" s="41">
        <v>2641</v>
      </c>
      <c r="N22" s="41">
        <v>341</v>
      </c>
      <c r="O22" s="64">
        <v>12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12600</v>
      </c>
      <c r="F24" s="87">
        <v>1700</v>
      </c>
      <c r="G24" s="86">
        <v>600</v>
      </c>
      <c r="H24" s="15"/>
    </row>
    <row r="25" spans="1:13" ht="13.5" customHeight="1">
      <c r="A25" s="7"/>
      <c r="B25" s="105"/>
      <c r="C25" s="103"/>
      <c r="D25" s="81" t="s">
        <v>119</v>
      </c>
      <c r="E25" s="82"/>
      <c r="F25" s="83"/>
      <c r="G25" s="66"/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5006</v>
      </c>
      <c r="F26" s="83">
        <v>425</v>
      </c>
      <c r="G26" s="66">
        <v>183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22735</v>
      </c>
      <c r="F27" s="65">
        <v>2670</v>
      </c>
      <c r="G27" s="65">
        <v>1405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23957.986517435984</v>
      </c>
      <c r="L27" s="41">
        <f>IF(OR(F38&lt;=0,F35&lt;=0,F26&lt;=0),IF(OR(F34&lt;=0,F31&lt;=0),IF(OR(F30&lt;=0,F27&lt;=0),0,F27/F30*F26),(F31/F34+F27/F30)/2*F26),(F35/F38+F31/F34+F27/F30)/3*F26)</f>
        <v>3171.36654822081</v>
      </c>
      <c r="M27" s="41">
        <f>IF(OR(G38&lt;=0,G35&lt;=0,G26&lt;=0),IF(OR(G34&lt;=0,G31&lt;=0),IF(OR(G30&lt;=0,G27&lt;=0),0,G27/G30*G26),(G31/G34+G27/G30)/2*G26),(G35/G38+G31/G34+G27/G30)/3*G26)</f>
        <v>2114.270338983051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17481</v>
      </c>
      <c r="F28" s="65">
        <v>2273</v>
      </c>
      <c r="G28" s="65">
        <v>1226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0</v>
      </c>
      <c r="L28" s="41">
        <f>IF(OR(F37&lt;=0,F35&lt;=0,F25&lt;=0),IF(OR(F33&lt;=0,F31&lt;=0),IF(OR(F29&lt;=0,F27&lt;=0),0,F27/F29*F25),(F31/F33+F27/F29)/2*F25),(F35/F37+F31/F33+F27/F29)/3*F25)</f>
        <v>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182</v>
      </c>
      <c r="E29" s="65">
        <v>12392</v>
      </c>
      <c r="F29" s="65">
        <v>1612</v>
      </c>
      <c r="G29" s="65">
        <v>840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183</v>
      </c>
      <c r="E30" s="65">
        <v>4699</v>
      </c>
      <c r="F30" s="65">
        <v>318</v>
      </c>
      <c r="G30" s="65">
        <v>118</v>
      </c>
      <c r="H30" s="15"/>
      <c r="I30" s="105" t="s">
        <v>103</v>
      </c>
      <c r="J30" s="105"/>
      <c r="K30" s="41">
        <f>IF(E18=0,E19,E18)</f>
        <v>23200</v>
      </c>
      <c r="L30" s="41">
        <f>IF(F18=0,F19,F18)</f>
        <v>2800</v>
      </c>
      <c r="M30" s="41">
        <f>IF(G18=0,G19,G18)</f>
        <v>1000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22588</v>
      </c>
      <c r="F31" s="65">
        <v>2461</v>
      </c>
      <c r="G31" s="65">
        <v>1120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17132</v>
      </c>
      <c r="F32" s="65">
        <v>2013</v>
      </c>
      <c r="G32" s="65">
        <v>1059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184</v>
      </c>
      <c r="E33" s="65">
        <v>12154</v>
      </c>
      <c r="F33" s="65">
        <v>1537</v>
      </c>
      <c r="G33" s="65">
        <v>702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185</v>
      </c>
      <c r="E34" s="65">
        <v>4772</v>
      </c>
      <c r="F34" s="65">
        <v>377</v>
      </c>
      <c r="G34" s="65">
        <v>100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21193</v>
      </c>
      <c r="F35" s="65">
        <v>2102</v>
      </c>
      <c r="G35" s="65">
        <v>1125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16289</v>
      </c>
      <c r="F36" s="65">
        <v>1616</v>
      </c>
      <c r="G36" s="65">
        <v>821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186</v>
      </c>
      <c r="E37" s="65">
        <v>11108</v>
      </c>
      <c r="F37" s="65">
        <v>1096</v>
      </c>
      <c r="G37" s="65">
        <v>551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187</v>
      </c>
      <c r="E38" s="65"/>
      <c r="F38" s="65"/>
      <c r="G38" s="65"/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92.21176351899337</v>
      </c>
      <c r="C41" s="39">
        <f>IF(B43&lt;=0,-100,IF((30-B43)*5&lt;-100,-100,(30-B43)*5))</f>
        <v>50.83307000000001</v>
      </c>
      <c r="D41" s="39">
        <f>IF(D42+D43+D44&lt;-20,-20,IF((D42+D43+D44)&gt;20,20,D42+D43+D44))</f>
        <v>20</v>
      </c>
      <c r="E41" s="39">
        <f>IF(E42+E43+E44&lt;-100,-100,IF(E42+E43+E44&gt;50,50,E42+E43+E44))</f>
        <v>-10.9557021608428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13.263091007886066</v>
      </c>
      <c r="J41" s="39">
        <f>IF(J42+J43+J44&gt;20,20,IF(J42+J43+J44&lt;-50,-50,J42+J43+J44))</f>
        <v>0</v>
      </c>
      <c r="K41" s="39">
        <f>POWER(LOG(J3*G3/1000),4)</f>
        <v>2.8332922632769058</v>
      </c>
      <c r="L41" s="39">
        <f>IF(N20/E27*100&gt;30,30,N20/E27*100)</f>
        <v>2.199252254233561</v>
      </c>
      <c r="M41" s="39">
        <f>IF((L20-M20)*50/E27&lt;-50,-50,IF((L20-M20)*50/E27&gt;30,30,(L20-M20)*50/E27))</f>
        <v>8.35715856608753</v>
      </c>
      <c r="N41" s="39">
        <f>(K20-50)/2</f>
        <v>5.899999999999999</v>
      </c>
      <c r="O41" s="39">
        <f>IF(O20=0,-30,((O20/G3)*100-1)*30)</f>
        <v>-0.21839841164791207</v>
      </c>
      <c r="P41" s="76">
        <f>G3*G4/1000</f>
        <v>1511</v>
      </c>
    </row>
    <row r="42" spans="2:14" ht="13.5" customHeight="1">
      <c r="B42" s="29" t="s">
        <v>326</v>
      </c>
      <c r="C42" s="12"/>
      <c r="D42" s="39">
        <f>IF(OR(E26=0,E30=0),0,(E26-E30)/E30*100)</f>
        <v>6.53330495850181</v>
      </c>
      <c r="E42" s="39">
        <f>IF(E18=0,(E19-E27)/E27*50,(E18-E27)/E27*50)</f>
        <v>1.0226522982186057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19.833385999999997</v>
      </c>
      <c r="C43" s="12"/>
      <c r="D43" s="39">
        <f>IF(OR(F26=0,F30=0),0,IF(F30&lt;0,(F26-F30)/(-F30)*50,(F26-F30)/(F30)*50))</f>
        <v>16.82389937106918</v>
      </c>
      <c r="E43" s="39">
        <f>IF(F18=0,(F19-F27)/F27*50,(F18-F27)/F27*50)</f>
        <v>2.4344569288389515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55.08474576271186</v>
      </c>
      <c r="E44" s="39">
        <f>IF(G18=0,(G19-G27)/G27*50,(G18-G27)/G27*50)</f>
        <v>-14.412811387900357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/>
  <dimension ref="A2:X50"/>
  <sheetViews>
    <sheetView workbookViewId="0" topLeftCell="B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7968</v>
      </c>
      <c r="C2" s="99"/>
      <c r="D2" s="99" t="s">
        <v>68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325</v>
      </c>
      <c r="H3" s="15" t="s">
        <v>327</v>
      </c>
      <c r="I3" s="21" t="s">
        <v>8</v>
      </c>
      <c r="J3" s="58">
        <f>262100/7277</f>
        <v>36.01758966607118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30600</v>
      </c>
      <c r="F18" s="87">
        <v>500</v>
      </c>
      <c r="G18" s="86">
        <v>-2300</v>
      </c>
      <c r="H18" s="15" t="s">
        <v>344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31000</v>
      </c>
      <c r="F19" s="87">
        <v>1000</v>
      </c>
      <c r="G19" s="86">
        <v>400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153/4.25</f>
        <v>36</v>
      </c>
      <c r="K20" s="59">
        <v>44.9</v>
      </c>
      <c r="L20" s="41">
        <v>1354</v>
      </c>
      <c r="M20" s="41">
        <v>35963</v>
      </c>
      <c r="N20" s="41">
        <v>250</v>
      </c>
      <c r="O20" s="60">
        <v>8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37.252748</v>
      </c>
      <c r="K21" s="59">
        <v>43.5</v>
      </c>
      <c r="L21" s="41">
        <v>3537</v>
      </c>
      <c r="M21" s="41">
        <v>39843</v>
      </c>
      <c r="N21" s="41">
        <v>250</v>
      </c>
      <c r="O21" s="60">
        <v>8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37.268545</v>
      </c>
      <c r="K22" s="64">
        <v>44.7</v>
      </c>
      <c r="L22" s="41">
        <v>2614</v>
      </c>
      <c r="M22" s="41">
        <v>37329</v>
      </c>
      <c r="N22" s="41">
        <v>194</v>
      </c>
      <c r="O22" s="64">
        <v>8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15300</v>
      </c>
      <c r="F24" s="87">
        <v>500</v>
      </c>
      <c r="G24" s="86">
        <v>200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15994</v>
      </c>
      <c r="F25" s="83">
        <v>137</v>
      </c>
      <c r="G25" s="66">
        <v>-2621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7318</v>
      </c>
      <c r="F26" s="83">
        <v>-273</v>
      </c>
      <c r="G26" s="66">
        <v>153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30211</v>
      </c>
      <c r="F27" s="65">
        <v>564</v>
      </c>
      <c r="G27" s="65">
        <v>-2030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31035.3188734388</v>
      </c>
      <c r="L27" s="41">
        <f>IF(OR(F38&lt;=0,F35&lt;=0,F26&lt;=0),IF(OR(F34&lt;=0,F31&lt;=0),IF(OR(F30&lt;=0,F27&lt;=0),0,F27/F30*F26),(F31/F34+F27/F30)/2*F26),(F35/F38+F31/F34+F27/F30)/3*F26)</f>
        <v>309.32383419689114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21949</v>
      </c>
      <c r="F28" s="65">
        <v>212</v>
      </c>
      <c r="G28" s="65">
        <v>-3039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32622.133814478366</v>
      </c>
      <c r="L28" s="41">
        <f>IF(OR(F37&lt;=0,F35&lt;=0,F25&lt;=0),IF(OR(F33&lt;=0,F31&lt;=0),IF(OR(F29&lt;=0,F27&lt;=0),0,F27/F29*F25),(F31/F33+F27/F29)/2*F25),(F35/F37+F31/F33+F27/F29)/3*F25)</f>
        <v>327.5445171176346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176</v>
      </c>
      <c r="E29" s="65">
        <v>14831</v>
      </c>
      <c r="F29" s="65">
        <v>118</v>
      </c>
      <c r="G29" s="65">
        <v>-3221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177</v>
      </c>
      <c r="E30" s="65">
        <v>6978</v>
      </c>
      <c r="F30" s="65">
        <v>-117</v>
      </c>
      <c r="G30" s="65">
        <v>-150</v>
      </c>
      <c r="H30" s="15"/>
      <c r="I30" s="105" t="s">
        <v>103</v>
      </c>
      <c r="J30" s="105"/>
      <c r="K30" s="41">
        <f>IF(E18=0,E19,E18)</f>
        <v>30600</v>
      </c>
      <c r="L30" s="41">
        <f>IF(F18=0,F19,F18)</f>
        <v>500</v>
      </c>
      <c r="M30" s="41">
        <f>IF(G18=0,G19,G18)</f>
        <v>-2300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29122</v>
      </c>
      <c r="F31" s="65">
        <v>493</v>
      </c>
      <c r="G31" s="65">
        <v>-1482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21715</v>
      </c>
      <c r="F32" s="65">
        <v>713</v>
      </c>
      <c r="G32" s="65">
        <v>-1294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178</v>
      </c>
      <c r="E33" s="65">
        <v>14772</v>
      </c>
      <c r="F33" s="65">
        <v>728</v>
      </c>
      <c r="G33" s="65">
        <v>-1391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179</v>
      </c>
      <c r="E34" s="65">
        <v>7007</v>
      </c>
      <c r="F34" s="65">
        <v>193</v>
      </c>
      <c r="G34" s="65">
        <v>-1569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28555</v>
      </c>
      <c r="F35" s="65">
        <v>899</v>
      </c>
      <c r="G35" s="65">
        <v>-534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20718</v>
      </c>
      <c r="F36" s="65">
        <v>465</v>
      </c>
      <c r="G36" s="65">
        <v>140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180</v>
      </c>
      <c r="E37" s="65">
        <v>13530</v>
      </c>
      <c r="F37" s="65">
        <v>524</v>
      </c>
      <c r="G37" s="65">
        <v>13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181</v>
      </c>
      <c r="E38" s="65">
        <v>6739</v>
      </c>
      <c r="F38" s="65">
        <v>-74</v>
      </c>
      <c r="G38" s="65">
        <v>-109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-214.95307673902465</v>
      </c>
      <c r="C41" s="39">
        <f>IF(B43&lt;=0,-100,IF((30-B43)*5&lt;-100,-100,(30-B43)*5))</f>
        <v>-100</v>
      </c>
      <c r="D41" s="39">
        <f>IF(D42+D43+D44&lt;-20,-20,IF((D42+D43+D44)&gt;20,20,D42+D43+D44))</f>
        <v>20</v>
      </c>
      <c r="E41" s="39">
        <f>IF(E42+E43+E44&lt;-100,-100,IF(E42+E43+E44&gt;50,50,E42+E43+E44))</f>
        <v>1.6202926766737527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1.3029635806885147</v>
      </c>
      <c r="L41" s="39">
        <f>IF(N20/E27*100&gt;30,30,N20/E27*100)</f>
        <v>0.8275131574592035</v>
      </c>
      <c r="M41" s="39">
        <f>IF((L20-M20)*50/E27&lt;-50,-50,IF((L20-M20)*50/E27&gt;30,30,(L20-M20)*50/E27))</f>
        <v>-50</v>
      </c>
      <c r="N41" s="39">
        <f>(K20-50)/2</f>
        <v>-2.5500000000000007</v>
      </c>
      <c r="O41" s="39">
        <f>IF(O20=0,-30,((O20/G3)*100-1)*30)</f>
        <v>43.846153846153854</v>
      </c>
      <c r="P41" s="76">
        <f>G3*G4/1000</f>
        <v>325</v>
      </c>
    </row>
    <row r="42" spans="2:14" ht="13.5" customHeight="1">
      <c r="B42" s="29" t="s">
        <v>326</v>
      </c>
      <c r="C42" s="12"/>
      <c r="D42" s="39">
        <f>IF(OR(E26=0,E30=0),0,(E26-E30)/E30*100)</f>
        <v>4.872456291200917</v>
      </c>
      <c r="E42" s="39">
        <f>IF(E18=0,(E19-E27)/E27*50,(E18-E27)/E27*50)</f>
        <v>0.6438052365032604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-1.2903225806451613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0</v>
      </c>
      <c r="C43" s="12"/>
      <c r="D43" s="39">
        <f>IF(OR(F26=0,F30=0),0,IF(F30&lt;0,(F26-F30)/(-F30)*50,(F26-F30)/(F30)*50))</f>
        <v>-66.66666666666666</v>
      </c>
      <c r="E43" s="39">
        <f>IF(F18=0,(F19-F27)/F27*50,(F18-F27)/F27*50)</f>
        <v>-5.673758865248227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-50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202</v>
      </c>
      <c r="E44" s="39">
        <f>IF(G18=0,(G19-G27)/G27*50,(G18-G27)/G27*50)</f>
        <v>6.65024630541872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-675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0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7983</v>
      </c>
      <c r="C2" s="99"/>
      <c r="D2" s="99" t="s">
        <v>67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325</v>
      </c>
      <c r="H3" s="15" t="s">
        <v>327</v>
      </c>
      <c r="I3" s="21" t="s">
        <v>8</v>
      </c>
      <c r="J3" s="58">
        <f>21800/1500</f>
        <v>14.533333333333333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15900</v>
      </c>
      <c r="F18" s="87">
        <v>980</v>
      </c>
      <c r="G18" s="86">
        <v>650</v>
      </c>
      <c r="H18" s="15" t="s">
        <v>341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16300</v>
      </c>
      <c r="F19" s="87">
        <v>1300</v>
      </c>
      <c r="G19" s="86">
        <v>860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15.027</v>
      </c>
      <c r="K20" s="59">
        <v>48</v>
      </c>
      <c r="L20" s="41">
        <v>5595</v>
      </c>
      <c r="M20" s="41">
        <v>3100</v>
      </c>
      <c r="N20" s="41"/>
      <c r="O20" s="60">
        <v>9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14.819805</v>
      </c>
      <c r="K21" s="59">
        <v>42.3</v>
      </c>
      <c r="L21" s="41">
        <v>4442</v>
      </c>
      <c r="M21" s="41">
        <v>3100</v>
      </c>
      <c r="N21" s="41">
        <v>1199</v>
      </c>
      <c r="O21" s="60">
        <v>9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14.827795</v>
      </c>
      <c r="K22" s="64">
        <v>46.3</v>
      </c>
      <c r="L22" s="41">
        <v>4914</v>
      </c>
      <c r="M22" s="41">
        <v>3100</v>
      </c>
      <c r="N22" s="41">
        <v>940</v>
      </c>
      <c r="O22" s="64">
        <v>8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8200</v>
      </c>
      <c r="F24" s="87">
        <v>680</v>
      </c>
      <c r="G24" s="86">
        <v>460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7408</v>
      </c>
      <c r="F25" s="83">
        <v>379</v>
      </c>
      <c r="G25" s="66">
        <v>218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3781</v>
      </c>
      <c r="F26" s="83">
        <v>160</v>
      </c>
      <c r="G26" s="66">
        <v>102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15231</v>
      </c>
      <c r="F27" s="65">
        <v>980</v>
      </c>
      <c r="G27" s="65">
        <v>712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15895.221847977804</v>
      </c>
      <c r="L27" s="41">
        <f>IF(OR(F38&lt;=0,F35&lt;=0,F26&lt;=0),IF(OR(F34&lt;=0,F31&lt;=0),IF(OR(F30&lt;=0,F27&lt;=0),0,F27/F30*F26),(F31/F34+F27/F30)/2*F26),(F35/F38+F31/F34+F27/F30)/3*F26)</f>
        <v>550.2195070419369</v>
      </c>
      <c r="M27" s="41">
        <f>IF(OR(G38&lt;=0,G35&lt;=0,G26&lt;=0),IF(OR(G34&lt;=0,G31&lt;=0),IF(OR(G30&lt;=0,G27&lt;=0),0,G27/G30*G26),(G31/G34+G27/G30)/2*G26),(G35/G38+G31/G34+G27/G30)/3*G26)</f>
        <v>383.0197587550902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11349</v>
      </c>
      <c r="F28" s="65">
        <v>950</v>
      </c>
      <c r="G28" s="65">
        <v>703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14883.497113108806</v>
      </c>
      <c r="L28" s="41">
        <f>IF(OR(F37&lt;=0,F35&lt;=0,F25&lt;=0),IF(OR(F33&lt;=0,F31&lt;=0),IF(OR(F29&lt;=0,F27&lt;=0),0,F27/F29*F25),(F31/F33+F27/F29)/2*F25),(F35/F37+F31/F33+F27/F29)/3*F25)</f>
        <v>642.3462635356711</v>
      </c>
      <c r="M28" s="41">
        <f>IF(OR(G37&lt;=0,G35&lt;=0,G25&lt;=0),IF(OR(G33&lt;=0,G31&lt;=0),IF(OR(G29&lt;=0,G27&lt;=0),0,G27/G29*G25),(G31/G33+G27/G29)/2*G25),(G35/G37+G31/G33+G27/G29)/3*G25)</f>
        <v>358.7511442501781</v>
      </c>
    </row>
    <row r="29" spans="1:13" ht="13.5" customHeight="1">
      <c r="A29" s="8"/>
      <c r="B29" s="102"/>
      <c r="C29" s="25" t="s">
        <v>18</v>
      </c>
      <c r="D29" s="81" t="s">
        <v>170</v>
      </c>
      <c r="E29" s="65">
        <v>7663</v>
      </c>
      <c r="F29" s="65">
        <v>720</v>
      </c>
      <c r="G29" s="65">
        <v>554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171</v>
      </c>
      <c r="E30" s="65">
        <v>3744</v>
      </c>
      <c r="F30" s="65">
        <v>352</v>
      </c>
      <c r="G30" s="65">
        <v>217</v>
      </c>
      <c r="H30" s="15"/>
      <c r="I30" s="105" t="s">
        <v>103</v>
      </c>
      <c r="J30" s="105"/>
      <c r="K30" s="41">
        <f>IF(E18=0,E19,E18)</f>
        <v>15900</v>
      </c>
      <c r="L30" s="41">
        <f>IF(F18=0,F19,F18)</f>
        <v>980</v>
      </c>
      <c r="M30" s="41">
        <f>IF(G18=0,G19,G18)</f>
        <v>650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15067</v>
      </c>
      <c r="F31" s="65">
        <v>1398</v>
      </c>
      <c r="G31" s="65">
        <v>874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11318</v>
      </c>
      <c r="F32" s="65">
        <v>1180</v>
      </c>
      <c r="G32" s="65">
        <v>697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172</v>
      </c>
      <c r="E33" s="65">
        <v>7603</v>
      </c>
      <c r="F33" s="65">
        <v>878</v>
      </c>
      <c r="G33" s="65">
        <v>552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173</v>
      </c>
      <c r="E34" s="65">
        <v>3565</v>
      </c>
      <c r="F34" s="65">
        <v>378</v>
      </c>
      <c r="G34" s="65">
        <v>222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15396</v>
      </c>
      <c r="F35" s="65">
        <v>1641</v>
      </c>
      <c r="G35" s="65">
        <v>1028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11372</v>
      </c>
      <c r="F36" s="65">
        <v>1274</v>
      </c>
      <c r="G36" s="65">
        <v>742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174</v>
      </c>
      <c r="E37" s="65">
        <v>7481</v>
      </c>
      <c r="F37" s="65">
        <v>770</v>
      </c>
      <c r="G37" s="65">
        <v>497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175</v>
      </c>
      <c r="E38" s="65">
        <v>3566</v>
      </c>
      <c r="F38" s="65">
        <v>428</v>
      </c>
      <c r="G38" s="65">
        <v>254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69.2608961230892</v>
      </c>
      <c r="C41" s="39">
        <f>IF(B43&lt;=0,-100,IF((30-B43)*5&lt;-100,-100,(30-B43)*5))</f>
        <v>112.4325</v>
      </c>
      <c r="D41" s="39">
        <f>IF(D42+D43+D44&lt;-20,-20,IF((D42+D43+D44)&gt;20,20,D42+D43+D44))</f>
        <v>-20</v>
      </c>
      <c r="E41" s="39">
        <f>IF(E42+E43+E44&lt;-100,-100,IF(E42+E43+E44&gt;50,50,E42+E43+E44))</f>
        <v>-2.1577537384945993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-51.48797699660875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0.20667131458967933</v>
      </c>
      <c r="L41" s="39">
        <f>IF(N20/E27*100&gt;30,30,N20/E27*100)</f>
        <v>0</v>
      </c>
      <c r="M41" s="39">
        <f>IF((L20-M20)*50/E27&lt;-50,-50,IF((L20-M20)*50/E27&gt;30,30,(L20-M20)*50/E27))</f>
        <v>8.190532466679798</v>
      </c>
      <c r="N41" s="39">
        <f>(K20-50)/2</f>
        <v>-1</v>
      </c>
      <c r="O41" s="39">
        <f>IF(O20=0,-30,((O20/G3)*100-1)*30)</f>
        <v>53.07692307692307</v>
      </c>
      <c r="P41" s="76">
        <f>G3*G4/1000</f>
        <v>325</v>
      </c>
    </row>
    <row r="42" spans="2:14" ht="13.5" customHeight="1">
      <c r="B42" s="29" t="s">
        <v>326</v>
      </c>
      <c r="C42" s="12"/>
      <c r="D42" s="39">
        <f>IF(OR(E26=0,E30=0),0,(E26-E30)/E30*100)</f>
        <v>0.9882478632478632</v>
      </c>
      <c r="E42" s="39">
        <f>IF(E18=0,(E19-E27)/E27*50,(E18-E27)/E27*50)</f>
        <v>2.196178845775064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-2.4539877300613497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7.5135</v>
      </c>
      <c r="C43" s="12"/>
      <c r="D43" s="39">
        <f>IF(OR(F26=0,F30=0),0,IF(F30&lt;0,(F26-F30)/(-F30)*50,(F26-F30)/(F30)*50))</f>
        <v>-27.27272727272727</v>
      </c>
      <c r="E43" s="39">
        <f>IF(F18=0,(F19-F27)/F27*50,(F18-F27)/F27*50)</f>
        <v>0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-24.615384615384617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-52.995391705069125</v>
      </c>
      <c r="E44" s="39">
        <f>IF(G18=0,(G19-G27)/G27*50,(G18-G27)/G27*50)</f>
        <v>-4.353932584269663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-24.418604651162788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X50"/>
  <sheetViews>
    <sheetView workbookViewId="0" topLeftCell="C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25390625" style="0" customWidth="1"/>
    <col min="4" max="4" width="7.125" style="0" customWidth="1"/>
    <col min="5" max="5" width="8.875" style="0" customWidth="1"/>
    <col min="6" max="6" width="7.7539062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1873</v>
      </c>
      <c r="C2" s="99"/>
      <c r="D2" s="100" t="s">
        <v>87</v>
      </c>
      <c r="E2" s="100"/>
      <c r="F2" s="100"/>
      <c r="G2" s="100"/>
      <c r="H2" s="100"/>
      <c r="I2" s="100"/>
      <c r="J2" s="100"/>
      <c r="K2" s="100"/>
      <c r="L2" s="100"/>
    </row>
    <row r="3" spans="2:15" ht="13.5" customHeight="1">
      <c r="B3" s="24" t="s">
        <v>0</v>
      </c>
      <c r="C3" s="61" t="s">
        <v>1</v>
      </c>
      <c r="F3" s="36" t="s">
        <v>38</v>
      </c>
      <c r="G3" s="69">
        <v>120</v>
      </c>
      <c r="H3" s="15" t="s">
        <v>332</v>
      </c>
      <c r="I3" s="21" t="s">
        <v>8</v>
      </c>
      <c r="J3" s="63">
        <f>169200/3277</f>
        <v>51.63259078425389</v>
      </c>
      <c r="K3" s="88" t="s">
        <v>318</v>
      </c>
      <c r="L3" s="3"/>
      <c r="M3" s="3"/>
      <c r="N3" s="3"/>
      <c r="O3" s="3"/>
    </row>
    <row r="4" spans="6:15" ht="13.5" customHeight="1">
      <c r="F4" s="20" t="s">
        <v>47</v>
      </c>
      <c r="G4" s="66">
        <v>1000</v>
      </c>
      <c r="I4" s="6" t="s">
        <v>322</v>
      </c>
      <c r="J4" s="3"/>
      <c r="K4" s="3"/>
      <c r="L4" s="3"/>
      <c r="M4" s="3"/>
      <c r="N4" s="3"/>
      <c r="O4" s="3"/>
    </row>
    <row r="5" spans="7:16" ht="13.5" customHeight="1">
      <c r="G5" s="14" t="s">
        <v>37</v>
      </c>
      <c r="I5" s="4"/>
      <c r="J5" s="96" t="s">
        <v>320</v>
      </c>
      <c r="K5" s="97"/>
      <c r="L5" s="97"/>
      <c r="M5" s="97"/>
      <c r="N5" s="97"/>
      <c r="O5" s="97"/>
      <c r="P5" s="98"/>
    </row>
    <row r="6" spans="2:16" ht="13.5" customHeight="1">
      <c r="B6" s="13"/>
      <c r="D6" s="37" t="s">
        <v>36</v>
      </c>
      <c r="E6" s="37" t="s">
        <v>35</v>
      </c>
      <c r="F6" s="37" t="s">
        <v>34</v>
      </c>
      <c r="G6" s="37" t="s">
        <v>33</v>
      </c>
      <c r="I6" s="70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2:16" ht="13.5" customHeight="1">
      <c r="B7" s="105" t="s">
        <v>105</v>
      </c>
      <c r="C7" s="105" t="s">
        <v>32</v>
      </c>
      <c r="D7" s="78" t="s">
        <v>16</v>
      </c>
      <c r="E7" s="79"/>
      <c r="F7" s="80"/>
      <c r="G7" s="79"/>
      <c r="H7" s="16"/>
      <c r="I7" s="24"/>
      <c r="J7" s="43"/>
      <c r="K7" s="44"/>
      <c r="L7" s="44"/>
      <c r="M7" s="44"/>
      <c r="N7" s="44"/>
      <c r="O7" s="46"/>
      <c r="P7" s="47"/>
    </row>
    <row r="8" spans="2:16" ht="13.5" customHeight="1">
      <c r="B8" s="105"/>
      <c r="C8" s="105"/>
      <c r="D8" s="85" t="s">
        <v>48</v>
      </c>
      <c r="E8" s="86"/>
      <c r="F8" s="87"/>
      <c r="G8" s="86"/>
      <c r="H8" s="16"/>
      <c r="I8" s="24"/>
      <c r="J8" s="43"/>
      <c r="K8" s="44"/>
      <c r="L8" s="44"/>
      <c r="M8" s="44"/>
      <c r="N8" s="44"/>
      <c r="O8" s="46"/>
      <c r="P8" s="47"/>
    </row>
    <row r="9" spans="2:16" ht="13.5" customHeight="1">
      <c r="B9" s="105"/>
      <c r="C9" s="105"/>
      <c r="D9" s="85" t="s">
        <v>17</v>
      </c>
      <c r="E9" s="86"/>
      <c r="F9" s="87"/>
      <c r="G9" s="86"/>
      <c r="H9" s="16"/>
      <c r="I9" s="24"/>
      <c r="J9" s="43"/>
      <c r="K9" s="44"/>
      <c r="L9" s="44"/>
      <c r="M9" s="44"/>
      <c r="N9" s="44"/>
      <c r="O9" s="46"/>
      <c r="P9" s="47"/>
    </row>
    <row r="10" spans="2:16" ht="13.5" customHeight="1">
      <c r="B10" s="105"/>
      <c r="C10" s="105"/>
      <c r="D10" s="81" t="s">
        <v>112</v>
      </c>
      <c r="E10" s="65"/>
      <c r="F10" s="75"/>
      <c r="G10" s="65"/>
      <c r="H10" s="16"/>
      <c r="I10" s="24"/>
      <c r="J10" s="43"/>
      <c r="K10" s="44"/>
      <c r="L10" s="44"/>
      <c r="M10" s="44"/>
      <c r="N10" s="44"/>
      <c r="O10" s="46"/>
      <c r="P10" s="47"/>
    </row>
    <row r="11" spans="2:16" ht="13.5" customHeight="1">
      <c r="B11" s="105"/>
      <c r="C11" s="25" t="s">
        <v>20</v>
      </c>
      <c r="D11" s="81" t="s">
        <v>113</v>
      </c>
      <c r="E11" s="65"/>
      <c r="F11" s="75"/>
      <c r="G11" s="65"/>
      <c r="H11" s="16"/>
      <c r="I11" s="25"/>
      <c r="J11" s="63"/>
      <c r="K11" s="64"/>
      <c r="L11" s="41"/>
      <c r="M11" s="41"/>
      <c r="N11" s="41"/>
      <c r="O11" s="62"/>
      <c r="P11" s="41"/>
    </row>
    <row r="12" spans="2:16" ht="13.5" customHeight="1">
      <c r="B12" s="105"/>
      <c r="C12" s="102" t="s">
        <v>18</v>
      </c>
      <c r="D12" s="78" t="s">
        <v>16</v>
      </c>
      <c r="E12" s="79"/>
      <c r="F12" s="80"/>
      <c r="G12" s="79"/>
      <c r="H12" s="16"/>
      <c r="I12" s="25"/>
      <c r="J12" s="63"/>
      <c r="K12" s="64"/>
      <c r="L12" s="41"/>
      <c r="M12" s="41"/>
      <c r="N12" s="41"/>
      <c r="O12" s="62"/>
      <c r="P12" s="41"/>
    </row>
    <row r="13" spans="2:16" ht="13.5" customHeight="1">
      <c r="B13" s="105"/>
      <c r="C13" s="102"/>
      <c r="D13" s="85" t="s">
        <v>48</v>
      </c>
      <c r="E13" s="86"/>
      <c r="F13" s="87"/>
      <c r="G13" s="86"/>
      <c r="H13" s="16"/>
      <c r="I13" s="25"/>
      <c r="J13" s="63"/>
      <c r="K13" s="64"/>
      <c r="L13" s="41"/>
      <c r="M13" s="41"/>
      <c r="N13" s="41"/>
      <c r="O13" s="62"/>
      <c r="P13" s="41"/>
    </row>
    <row r="14" spans="2:16" ht="13.5" customHeight="1">
      <c r="B14" s="105"/>
      <c r="C14" s="102"/>
      <c r="D14" s="85" t="s">
        <v>17</v>
      </c>
      <c r="E14" s="86"/>
      <c r="F14" s="87"/>
      <c r="G14" s="86"/>
      <c r="H14" s="16"/>
      <c r="I14" s="24"/>
      <c r="J14" s="63"/>
      <c r="K14" s="64"/>
      <c r="L14" s="41"/>
      <c r="M14" s="41"/>
      <c r="N14" s="41"/>
      <c r="O14" s="62"/>
      <c r="P14" s="41"/>
    </row>
    <row r="15" spans="2:16" ht="13.5" customHeight="1">
      <c r="B15" s="105"/>
      <c r="C15" s="103"/>
      <c r="D15" s="81" t="s">
        <v>114</v>
      </c>
      <c r="E15" s="65"/>
      <c r="F15" s="75"/>
      <c r="G15" s="65"/>
      <c r="H15" s="16"/>
      <c r="I15" s="24"/>
      <c r="J15" s="63"/>
      <c r="K15" s="64"/>
      <c r="L15" s="41"/>
      <c r="M15" s="41"/>
      <c r="N15" s="41"/>
      <c r="O15" s="62"/>
      <c r="P15" s="41"/>
    </row>
    <row r="16" spans="2:16" ht="13.5" customHeight="1">
      <c r="B16" s="105"/>
      <c r="C16" s="25" t="s">
        <v>21</v>
      </c>
      <c r="D16" s="81" t="s">
        <v>115</v>
      </c>
      <c r="E16" s="65"/>
      <c r="F16" s="75"/>
      <c r="G16" s="65"/>
      <c r="H16" s="16"/>
      <c r="I16" s="25"/>
      <c r="J16" s="63"/>
      <c r="K16" s="64"/>
      <c r="L16" s="41"/>
      <c r="M16" s="41"/>
      <c r="N16" s="41"/>
      <c r="O16" s="62"/>
      <c r="P16" s="41"/>
    </row>
    <row r="17" spans="2:16" ht="13.5" customHeight="1"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6"/>
      <c r="I17" s="25"/>
      <c r="J17" s="63"/>
      <c r="K17" s="64"/>
      <c r="L17" s="41"/>
      <c r="M17" s="41"/>
      <c r="N17" s="41"/>
      <c r="O17" s="62"/>
      <c r="P17" s="41"/>
    </row>
    <row r="18" spans="2:16" ht="13.5" customHeight="1">
      <c r="B18" s="105"/>
      <c r="C18" s="105"/>
      <c r="D18" s="85" t="s">
        <v>48</v>
      </c>
      <c r="E18" s="86">
        <v>66360</v>
      </c>
      <c r="F18" s="87">
        <v>3320</v>
      </c>
      <c r="G18" s="86">
        <v>2700</v>
      </c>
      <c r="H18" s="16" t="s">
        <v>342</v>
      </c>
      <c r="I18" s="25"/>
      <c r="J18" s="63"/>
      <c r="K18" s="64"/>
      <c r="L18" s="41"/>
      <c r="M18" s="41"/>
      <c r="N18" s="41"/>
      <c r="O18" s="62"/>
      <c r="P18" s="41"/>
    </row>
    <row r="19" spans="2:16" ht="13.5" customHeight="1">
      <c r="B19" s="105"/>
      <c r="C19" s="105"/>
      <c r="D19" s="85" t="s">
        <v>17</v>
      </c>
      <c r="E19" s="86">
        <v>65500</v>
      </c>
      <c r="F19" s="87">
        <v>3380</v>
      </c>
      <c r="G19" s="86">
        <v>2250</v>
      </c>
      <c r="H19" s="16"/>
      <c r="I19" s="25"/>
      <c r="J19" s="61"/>
      <c r="K19" s="61"/>
      <c r="L19" s="61"/>
      <c r="M19" s="61"/>
      <c r="N19" s="61"/>
      <c r="O19" s="62"/>
      <c r="P19" s="61"/>
    </row>
    <row r="20" spans="2:16" ht="13.5" customHeight="1">
      <c r="B20" s="105"/>
      <c r="C20" s="105"/>
      <c r="D20" s="81" t="s">
        <v>117</v>
      </c>
      <c r="E20" s="82"/>
      <c r="F20" s="83"/>
      <c r="G20" s="66"/>
      <c r="H20" s="16"/>
      <c r="I20" s="25" t="s">
        <v>31</v>
      </c>
      <c r="J20" s="63">
        <f>1583/29.59</f>
        <v>53.49780331192971</v>
      </c>
      <c r="K20" s="64">
        <v>3.6</v>
      </c>
      <c r="L20" s="41">
        <v>-4068</v>
      </c>
      <c r="M20" s="41">
        <v>34386</v>
      </c>
      <c r="N20" s="41">
        <v>1305</v>
      </c>
      <c r="O20" s="62">
        <v>0</v>
      </c>
      <c r="P20" s="41"/>
    </row>
    <row r="21" spans="2:16" ht="13.5" customHeight="1">
      <c r="B21" s="105"/>
      <c r="C21" s="25" t="s">
        <v>20</v>
      </c>
      <c r="D21" s="81" t="s">
        <v>118</v>
      </c>
      <c r="E21" s="82"/>
      <c r="F21" s="83"/>
      <c r="G21" s="66"/>
      <c r="H21" s="16"/>
      <c r="I21" s="25" t="s">
        <v>30</v>
      </c>
      <c r="J21" s="63">
        <v>45.899298</v>
      </c>
      <c r="K21" s="64">
        <v>9.9</v>
      </c>
      <c r="L21" s="41">
        <v>-6341</v>
      </c>
      <c r="M21" s="41">
        <v>49565</v>
      </c>
      <c r="N21" s="41">
        <v>1305</v>
      </c>
      <c r="O21" s="62">
        <v>0</v>
      </c>
      <c r="P21" s="41"/>
    </row>
    <row r="22" spans="2:16" ht="13.5" customHeight="1">
      <c r="B22" s="105"/>
      <c r="C22" s="102" t="s">
        <v>18</v>
      </c>
      <c r="D22" s="78" t="s">
        <v>16</v>
      </c>
      <c r="E22" s="79"/>
      <c r="F22" s="80"/>
      <c r="G22" s="79"/>
      <c r="H22" s="16"/>
      <c r="I22" s="25" t="s">
        <v>29</v>
      </c>
      <c r="J22" s="63">
        <v>35.909186</v>
      </c>
      <c r="K22" s="64">
        <v>5.3</v>
      </c>
      <c r="L22" s="41">
        <v>-10311</v>
      </c>
      <c r="M22" s="41">
        <v>39345</v>
      </c>
      <c r="N22" s="41">
        <v>727</v>
      </c>
      <c r="O22" s="64">
        <v>0</v>
      </c>
      <c r="P22" s="41"/>
    </row>
    <row r="23" spans="2:8" ht="13.5" customHeight="1">
      <c r="B23" s="105"/>
      <c r="C23" s="102"/>
      <c r="D23" s="85" t="s">
        <v>48</v>
      </c>
      <c r="E23" s="86"/>
      <c r="F23" s="87"/>
      <c r="G23" s="86"/>
      <c r="H23" s="16"/>
    </row>
    <row r="24" spans="2:8" ht="13.5" customHeight="1">
      <c r="B24" s="105"/>
      <c r="C24" s="102"/>
      <c r="D24" s="85" t="s">
        <v>17</v>
      </c>
      <c r="E24" s="86">
        <v>22300</v>
      </c>
      <c r="F24" s="87">
        <v>-2680</v>
      </c>
      <c r="G24" s="86">
        <v>-3120</v>
      </c>
      <c r="H24" s="16"/>
    </row>
    <row r="25" spans="2:13" ht="13.5" customHeight="1">
      <c r="B25" s="105"/>
      <c r="C25" s="103"/>
      <c r="D25" s="81" t="s">
        <v>119</v>
      </c>
      <c r="E25" s="82">
        <v>23105</v>
      </c>
      <c r="F25" s="83">
        <v>-1626</v>
      </c>
      <c r="G25" s="66">
        <v>-1692</v>
      </c>
      <c r="H25" s="16"/>
      <c r="K25" s="105" t="s">
        <v>99</v>
      </c>
      <c r="L25" s="105"/>
      <c r="M25" s="105"/>
    </row>
    <row r="26" spans="2:13" ht="13.5" customHeight="1">
      <c r="B26" s="105"/>
      <c r="C26" s="25" t="s">
        <v>21</v>
      </c>
      <c r="D26" s="81" t="s">
        <v>120</v>
      </c>
      <c r="E26" s="82">
        <v>8763</v>
      </c>
      <c r="F26" s="83">
        <v>-1499</v>
      </c>
      <c r="G26" s="66">
        <v>-1583</v>
      </c>
      <c r="H26" s="16"/>
      <c r="K26" s="23" t="s">
        <v>5</v>
      </c>
      <c r="L26" s="27" t="s">
        <v>6</v>
      </c>
      <c r="M26" s="23" t="s">
        <v>7</v>
      </c>
    </row>
    <row r="27" spans="2:13" ht="13.5" customHeight="1">
      <c r="B27" s="101" t="s">
        <v>14</v>
      </c>
      <c r="C27" s="25" t="s">
        <v>15</v>
      </c>
      <c r="D27" s="84" t="s">
        <v>121</v>
      </c>
      <c r="E27" s="65">
        <v>66010</v>
      </c>
      <c r="F27" s="65">
        <v>2199</v>
      </c>
      <c r="G27" s="65">
        <v>-77</v>
      </c>
      <c r="H27" s="16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62447.9812970681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0</v>
      </c>
    </row>
    <row r="28" spans="2:13" ht="13.5" customHeight="1">
      <c r="B28" s="102"/>
      <c r="C28" s="25" t="s">
        <v>20</v>
      </c>
      <c r="D28" s="84" t="s">
        <v>122</v>
      </c>
      <c r="E28" s="65">
        <v>38427</v>
      </c>
      <c r="F28" s="65">
        <v>-1938</v>
      </c>
      <c r="G28" s="65">
        <v>-3417</v>
      </c>
      <c r="H28" s="16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61952.516881443335</v>
      </c>
      <c r="L28" s="41">
        <f>IF(OR(F37&lt;=0,F35&lt;=0,F25&lt;=0),IF(OR(F33&lt;=0,F31&lt;=0),IF(OR(F29&lt;=0,F27&lt;=0),0,F27/F29*F25),(F31/F33+F27/F29)/2*F25),(F35/F37+F31/F33+F27/F29)/3*F25)</f>
        <v>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2:13" ht="13.5" customHeight="1">
      <c r="B29" s="102"/>
      <c r="C29" s="25" t="s">
        <v>18</v>
      </c>
      <c r="D29" s="81" t="s">
        <v>304</v>
      </c>
      <c r="E29" s="65">
        <v>25260</v>
      </c>
      <c r="F29" s="65">
        <v>-1802</v>
      </c>
      <c r="G29" s="65">
        <v>-3022</v>
      </c>
      <c r="H29" s="16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2:13" ht="13.5" customHeight="1">
      <c r="B30" s="103"/>
      <c r="C30" s="25" t="s">
        <v>21</v>
      </c>
      <c r="D30" s="81" t="s">
        <v>305</v>
      </c>
      <c r="E30" s="65">
        <v>8080</v>
      </c>
      <c r="F30" s="65">
        <v>-1739</v>
      </c>
      <c r="G30" s="65">
        <v>-1770</v>
      </c>
      <c r="H30" s="16"/>
      <c r="I30" s="105" t="s">
        <v>103</v>
      </c>
      <c r="J30" s="105"/>
      <c r="K30" s="41">
        <f>IF(E18=0,E19,E18)</f>
        <v>66360</v>
      </c>
      <c r="L30" s="41">
        <f>IF(F18=0,F19,F18)</f>
        <v>3320</v>
      </c>
      <c r="M30" s="41">
        <f>IF(G18=0,G19,G18)</f>
        <v>2700</v>
      </c>
    </row>
    <row r="31" spans="2:8" ht="13.5" customHeight="1">
      <c r="B31" s="101" t="s">
        <v>19</v>
      </c>
      <c r="C31" s="25" t="s">
        <v>306</v>
      </c>
      <c r="D31" s="84" t="s">
        <v>307</v>
      </c>
      <c r="E31" s="65">
        <v>69314</v>
      </c>
      <c r="F31" s="65">
        <v>2898</v>
      </c>
      <c r="G31" s="65">
        <v>-6279</v>
      </c>
      <c r="H31" s="16"/>
    </row>
    <row r="32" spans="2:16" ht="13.5" customHeight="1">
      <c r="B32" s="102"/>
      <c r="C32" s="25" t="s">
        <v>20</v>
      </c>
      <c r="D32" s="84" t="s">
        <v>308</v>
      </c>
      <c r="E32" s="65">
        <v>37373</v>
      </c>
      <c r="F32" s="65">
        <v>-3199</v>
      </c>
      <c r="G32" s="65">
        <v>-5584</v>
      </c>
      <c r="H32" s="16"/>
      <c r="I32" s="89"/>
      <c r="J32" s="89"/>
      <c r="K32" s="89"/>
      <c r="L32" s="89"/>
      <c r="M32" s="89"/>
      <c r="N32" s="89"/>
      <c r="O32" s="89"/>
      <c r="P32" s="89"/>
    </row>
    <row r="33" spans="2:16" ht="13.5" customHeight="1">
      <c r="B33" s="102"/>
      <c r="C33" s="25" t="s">
        <v>18</v>
      </c>
      <c r="D33" s="81" t="s">
        <v>309</v>
      </c>
      <c r="E33" s="65">
        <v>25113</v>
      </c>
      <c r="F33" s="65">
        <v>-2390</v>
      </c>
      <c r="G33" s="65">
        <v>-4499</v>
      </c>
      <c r="H33" s="16"/>
      <c r="I33" s="90"/>
      <c r="J33" s="106"/>
      <c r="K33" s="107"/>
      <c r="L33" s="107"/>
      <c r="M33" s="107"/>
      <c r="N33" s="107"/>
      <c r="O33" s="107"/>
      <c r="P33" s="107"/>
    </row>
    <row r="34" spans="2:16" ht="13.5" customHeight="1">
      <c r="B34" s="103"/>
      <c r="C34" s="25" t="s">
        <v>21</v>
      </c>
      <c r="D34" s="84" t="s">
        <v>310</v>
      </c>
      <c r="E34" s="65">
        <v>9692</v>
      </c>
      <c r="F34" s="65">
        <v>-2194</v>
      </c>
      <c r="G34" s="65">
        <v>-3647</v>
      </c>
      <c r="H34" s="16"/>
      <c r="I34" s="89"/>
      <c r="J34" s="107"/>
      <c r="K34" s="108"/>
      <c r="L34" s="107"/>
      <c r="M34" s="108"/>
      <c r="N34" s="107"/>
      <c r="O34" s="108"/>
      <c r="P34" s="107"/>
    </row>
    <row r="35" spans="2:16" ht="13.5" customHeight="1">
      <c r="B35" s="101" t="s">
        <v>311</v>
      </c>
      <c r="C35" s="25" t="s">
        <v>312</v>
      </c>
      <c r="D35" s="81" t="s">
        <v>44</v>
      </c>
      <c r="E35" s="65">
        <v>78151</v>
      </c>
      <c r="F35" s="65">
        <v>1525</v>
      </c>
      <c r="G35" s="65">
        <v>-8559</v>
      </c>
      <c r="H35" s="16"/>
      <c r="I35" s="89"/>
      <c r="J35" s="91"/>
      <c r="K35" s="91"/>
      <c r="L35" s="91"/>
      <c r="M35" s="91"/>
      <c r="N35" s="91"/>
      <c r="O35" s="91"/>
      <c r="P35" s="107"/>
    </row>
    <row r="36" spans="2:16" ht="13.5" customHeight="1">
      <c r="B36" s="102"/>
      <c r="C36" s="25" t="s">
        <v>20</v>
      </c>
      <c r="D36" s="81" t="s">
        <v>43</v>
      </c>
      <c r="E36" s="65">
        <v>43899</v>
      </c>
      <c r="F36" s="65">
        <v>-4240</v>
      </c>
      <c r="G36" s="65">
        <v>-5090</v>
      </c>
      <c r="H36" s="16"/>
      <c r="I36" s="92"/>
      <c r="J36" s="92"/>
      <c r="K36" s="93"/>
      <c r="L36" s="92"/>
      <c r="M36" s="93"/>
      <c r="N36" s="92"/>
      <c r="O36" s="94"/>
      <c r="P36" s="95"/>
    </row>
    <row r="37" spans="2:16" ht="13.5" customHeight="1">
      <c r="B37" s="102"/>
      <c r="C37" s="25" t="s">
        <v>313</v>
      </c>
      <c r="D37" s="81" t="s">
        <v>42</v>
      </c>
      <c r="E37" s="65">
        <v>29262</v>
      </c>
      <c r="F37" s="65">
        <v>-3522</v>
      </c>
      <c r="G37" s="65">
        <v>-4215</v>
      </c>
      <c r="H37" s="16"/>
      <c r="I37" s="92"/>
      <c r="J37" s="92"/>
      <c r="K37" s="93"/>
      <c r="L37" s="92"/>
      <c r="M37" s="93"/>
      <c r="N37" s="92"/>
      <c r="O37" s="94"/>
      <c r="P37" s="95"/>
    </row>
    <row r="38" spans="2:16" ht="13.5" customHeight="1">
      <c r="B38" s="103"/>
      <c r="C38" s="25" t="s">
        <v>21</v>
      </c>
      <c r="D38" s="81" t="s">
        <v>41</v>
      </c>
      <c r="E38" s="65">
        <v>12901</v>
      </c>
      <c r="F38" s="65">
        <v>-2185</v>
      </c>
      <c r="G38" s="65">
        <v>-2251</v>
      </c>
      <c r="H38" s="16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-2.3073341734463106</v>
      </c>
      <c r="C41" s="39">
        <f>IF(B43&lt;=0,-100,IF((30-B43)*5&lt;-100,-100,(30-B43)*5))</f>
        <v>138.1115992640156</v>
      </c>
      <c r="D41" s="39">
        <f>IF(D42+D43+D44&lt;-20,-20,IF((D42+D43+D44)&gt;20,20,D42+D43+D44))</f>
        <v>20</v>
      </c>
      <c r="E41" s="39">
        <f>IF(E42+E43+E44&lt;-100,-100,IF(E42+E43+E44&gt;50,50,E42+E43+E44))</f>
        <v>-100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19.53782917024256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0.39366914506025424</v>
      </c>
      <c r="L41" s="39">
        <f>IF(N20/E27*100&gt;30,30,N20/E27*100)</f>
        <v>1.9769731858809272</v>
      </c>
      <c r="M41" s="39">
        <f>IF((L20-M20)*50/E27&lt;-50,-50,IF((L20-M20)*50/E27&gt;30,30,(L20-M20)*50/E27))</f>
        <v>-29.12740493864566</v>
      </c>
      <c r="N41" s="39">
        <f>(K20-50)/2</f>
        <v>-23.2</v>
      </c>
      <c r="O41" s="39">
        <f>IF(O20=0,-30,((O20/G3)*100-1)*30)</f>
        <v>-30</v>
      </c>
      <c r="P41" s="76">
        <f>G3*G4/1000</f>
        <v>120</v>
      </c>
    </row>
    <row r="42" spans="2:14" ht="13.5" customHeight="1">
      <c r="B42" s="29" t="s">
        <v>326</v>
      </c>
      <c r="C42" s="12"/>
      <c r="D42" s="39">
        <f>IF(OR(E26=0,E30=0),0,(E26-E30)/E30*100)</f>
        <v>8.452970297029703</v>
      </c>
      <c r="E42" s="39">
        <f>IF(E18=0,(E19-E27)/E27*50,(E18-E27)/E27*50)</f>
        <v>0.2651113467656416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1.3129770992366412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2.377680147196876</v>
      </c>
      <c r="C43" s="12"/>
      <c r="D43" s="39">
        <f>IF(OR(F26=0,F30=0),0,IF(F30&lt;0,(F26-F30)/(-F30)*50,(F26-F30)/(F30)*50))</f>
        <v>6.900517538815411</v>
      </c>
      <c r="E43" s="39">
        <f>IF(F18=0,(F19-F27)/F27*50,(F18-F27)/F27*50)</f>
        <v>25.488858572078215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-1.7751479289940828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10.564971751412429</v>
      </c>
      <c r="E44" s="39">
        <f>IF(G18=0,(G19-G27)/G27*50,(G18-G27)/G27*50)</f>
        <v>-1803.246753246753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20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2">
    <mergeCell ref="J33:P33"/>
    <mergeCell ref="J34:K34"/>
    <mergeCell ref="L34:M34"/>
    <mergeCell ref="N34:O34"/>
    <mergeCell ref="P34:P35"/>
    <mergeCell ref="C7:C10"/>
    <mergeCell ref="C12:C15"/>
    <mergeCell ref="K25:M25"/>
    <mergeCell ref="I30:J30"/>
    <mergeCell ref="I27:J27"/>
    <mergeCell ref="I28:J28"/>
    <mergeCell ref="I29:J29"/>
    <mergeCell ref="J5:P5"/>
    <mergeCell ref="B2:C2"/>
    <mergeCell ref="D2:L2"/>
    <mergeCell ref="B35:B38"/>
    <mergeCell ref="B31:B34"/>
    <mergeCell ref="B7:B16"/>
    <mergeCell ref="B27:B30"/>
    <mergeCell ref="C17:C20"/>
    <mergeCell ref="C22:C25"/>
    <mergeCell ref="B17:B26"/>
  </mergeCells>
  <printOptions/>
  <pageMargins left="0.75" right="0.75" top="1" bottom="1" header="0.512" footer="0.512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1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8077</v>
      </c>
      <c r="C2" s="99"/>
      <c r="D2" s="99" t="s">
        <v>66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242</v>
      </c>
      <c r="H3" s="15" t="s">
        <v>327</v>
      </c>
      <c r="I3" s="21" t="s">
        <v>8</v>
      </c>
      <c r="J3" s="58">
        <f>19100/686</f>
        <v>27.842565597667637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25670</v>
      </c>
      <c r="F18" s="87">
        <v>1070</v>
      </c>
      <c r="G18" s="86">
        <v>560</v>
      </c>
      <c r="H18" s="15" t="s">
        <v>344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25100</v>
      </c>
      <c r="F19" s="87">
        <v>1260</v>
      </c>
      <c r="G19" s="86">
        <v>560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195/7</f>
        <v>27.857142857142858</v>
      </c>
      <c r="K20" s="59">
        <v>38.3</v>
      </c>
      <c r="L20" s="41">
        <v>2200</v>
      </c>
      <c r="M20" s="41">
        <v>4600</v>
      </c>
      <c r="N20" s="41">
        <v>1000</v>
      </c>
      <c r="O20" s="60">
        <v>7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27.865394</v>
      </c>
      <c r="K21" s="59">
        <v>30.3</v>
      </c>
      <c r="L21" s="41">
        <v>1585</v>
      </c>
      <c r="M21" s="41">
        <v>5236</v>
      </c>
      <c r="N21" s="41">
        <v>0</v>
      </c>
      <c r="O21" s="60">
        <v>7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23.83381</v>
      </c>
      <c r="K22" s="64">
        <v>33.6</v>
      </c>
      <c r="L22" s="41">
        <v>1787</v>
      </c>
      <c r="M22" s="41">
        <v>5000</v>
      </c>
      <c r="N22" s="41">
        <v>0</v>
      </c>
      <c r="O22" s="64">
        <v>6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12200</v>
      </c>
      <c r="F24" s="87">
        <v>580</v>
      </c>
      <c r="G24" s="86">
        <v>230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12792</v>
      </c>
      <c r="F25" s="83">
        <v>443</v>
      </c>
      <c r="G25" s="66">
        <v>191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6083</v>
      </c>
      <c r="F26" s="83">
        <v>120</v>
      </c>
      <c r="G26" s="66">
        <v>-84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24123</v>
      </c>
      <c r="F27" s="65">
        <v>1135</v>
      </c>
      <c r="G27" s="65">
        <v>583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23798.48077668675</v>
      </c>
      <c r="L27" s="41">
        <f>IF(OR(F38&lt;=0,F35&lt;=0,F26&lt;=0),IF(OR(F34&lt;=0,F31&lt;=0),IF(OR(F30&lt;=0,F27&lt;=0),0,F27/F30*F26),(F31/F34+F27/F30)/2*F26),(F35/F38+F31/F34+F27/F30)/3*F26)</f>
        <v>458.8033568400803</v>
      </c>
      <c r="M27" s="41">
        <f>IF(OR(G38&lt;=0,G35&lt;=0,G26&lt;=0),IF(OR(G34&lt;=0,G31&lt;=0),IF(OR(G30&lt;=0,G27&lt;=0),0,G27/G30*G26),(G31/G34+G27/G30)/2*G26),(G35/G38+G31/G34+G27/G30)/3*G26)</f>
        <v>-293.90869565217395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18022</v>
      </c>
      <c r="F28" s="65">
        <v>956</v>
      </c>
      <c r="G28" s="65">
        <v>522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25535.84705664102</v>
      </c>
      <c r="L28" s="41">
        <f>IF(OR(F37&lt;=0,F35&lt;=0,F25&lt;=0),IF(OR(F33&lt;=0,F31&lt;=0),IF(OR(F29&lt;=0,F27&lt;=0),0,F27/F29*F25),(F31/F33+F27/F29)/2*F25),(F35/F37+F31/F33+F27/F29)/3*F25)</f>
        <v>918.4708998650887</v>
      </c>
      <c r="M28" s="41">
        <f>IF(OR(G37&lt;=0,G35&lt;=0,G25&lt;=0),IF(OR(G33&lt;=0,G31&lt;=0),IF(OR(G29&lt;=0,G27&lt;=0),0,G27/G29*G25),(G31/G33+G27/G29)/2*G25),(G35/G37+G31/G33+G27/G29)/3*G25)</f>
        <v>369.2177965799292</v>
      </c>
    </row>
    <row r="29" spans="1:13" ht="13.5" customHeight="1">
      <c r="A29" s="8"/>
      <c r="B29" s="102"/>
      <c r="C29" s="25" t="s">
        <v>18</v>
      </c>
      <c r="D29" s="81" t="s">
        <v>164</v>
      </c>
      <c r="E29" s="65">
        <v>12152</v>
      </c>
      <c r="F29" s="65">
        <v>718</v>
      </c>
      <c r="G29" s="65">
        <v>371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165</v>
      </c>
      <c r="E30" s="65">
        <v>6177</v>
      </c>
      <c r="F30" s="65">
        <v>430</v>
      </c>
      <c r="G30" s="65">
        <v>220</v>
      </c>
      <c r="H30" s="15"/>
      <c r="I30" s="105" t="s">
        <v>103</v>
      </c>
      <c r="J30" s="105"/>
      <c r="K30" s="41">
        <f>IF(E18=0,E19,E18)</f>
        <v>25670</v>
      </c>
      <c r="L30" s="41">
        <f>IF(F18=0,F19,F18)</f>
        <v>1070</v>
      </c>
      <c r="M30" s="41">
        <f>IF(G18=0,G19,G18)</f>
        <v>560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23748</v>
      </c>
      <c r="F31" s="65">
        <v>1204</v>
      </c>
      <c r="G31" s="65">
        <v>600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17283</v>
      </c>
      <c r="F32" s="65">
        <v>735</v>
      </c>
      <c r="G32" s="65">
        <v>407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166</v>
      </c>
      <c r="E33" s="65">
        <v>11537</v>
      </c>
      <c r="F33" s="65">
        <v>491</v>
      </c>
      <c r="G33" s="65">
        <v>274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167</v>
      </c>
      <c r="E34" s="65">
        <v>5863</v>
      </c>
      <c r="F34" s="65">
        <v>281</v>
      </c>
      <c r="G34" s="65">
        <v>138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22887</v>
      </c>
      <c r="F35" s="65">
        <v>1041</v>
      </c>
      <c r="G35" s="65">
        <v>536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17040</v>
      </c>
      <c r="F36" s="65">
        <v>748</v>
      </c>
      <c r="G36" s="65">
        <v>401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168</v>
      </c>
      <c r="E37" s="65">
        <v>11766</v>
      </c>
      <c r="F37" s="65">
        <v>476</v>
      </c>
      <c r="G37" s="65">
        <v>263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169</v>
      </c>
      <c r="E38" s="65">
        <v>6053</v>
      </c>
      <c r="F38" s="65">
        <v>229</v>
      </c>
      <c r="G38" s="65">
        <v>125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75.9397093006025</v>
      </c>
      <c r="C41" s="39">
        <f>IF(B43&lt;=0,-100,IF((30-B43)*5&lt;-100,-100,(30-B43)*5))</f>
        <v>89.80867346938777</v>
      </c>
      <c r="D41" s="39">
        <f>IF(D42+D43+D44&lt;-20,-20,IF((D42+D43+D44)&gt;20,20,D42+D43+D44))</f>
        <v>-20</v>
      </c>
      <c r="E41" s="39">
        <f>IF(E42+E43+E44&lt;-100,-100,IF(E42+E43+E44&gt;50,50,E42+E43+E44))</f>
        <v>-1.6295084304470913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-12.808448744703725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0.4712177786500077</v>
      </c>
      <c r="L41" s="39">
        <f>IF(N20/E27*100&gt;30,30,N20/E27*100)</f>
        <v>4.145421382083489</v>
      </c>
      <c r="M41" s="39">
        <f>IF((L20-M20)*50/E27&lt;-50,-50,IF((L20-M20)*50/E27&gt;30,30,(L20-M20)*50/E27))</f>
        <v>-4.9745056585001866</v>
      </c>
      <c r="N41" s="39">
        <f>(K20-50)/2</f>
        <v>-5.850000000000001</v>
      </c>
      <c r="O41" s="39">
        <f>IF(O20=0,-30,((O20/G3)*100-1)*30)</f>
        <v>56.77685950413223</v>
      </c>
      <c r="P41" s="76">
        <f>G3*G4/1000</f>
        <v>242</v>
      </c>
    </row>
    <row r="42" spans="2:14" ht="13.5" customHeight="1">
      <c r="B42" s="29" t="s">
        <v>326</v>
      </c>
      <c r="C42" s="12"/>
      <c r="D42" s="39">
        <f>IF(OR(E26=0,E30=0),0,(E26-E30)/E30*100)</f>
        <v>-1.5217743241055528</v>
      </c>
      <c r="E42" s="39">
        <f>IF(E18=0,(E19-E27)/E27*50,(E18-E27)/E27*50)</f>
        <v>3.206483439041578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2.2709163346613543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12.03826530612245</v>
      </c>
      <c r="C43" s="12"/>
      <c r="D43" s="39">
        <f>IF(OR(F26=0,F30=0),0,IF(F30&lt;0,(F26-F30)/(-F30)*50,(F26-F30)/(F30)*50))</f>
        <v>-36.04651162790697</v>
      </c>
      <c r="E43" s="39">
        <f>IF(F18=0,(F19-F27)/F27*50,(F18-F27)/F27*50)</f>
        <v>-2.8634361233480177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-15.079365079365079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-138.1818181818182</v>
      </c>
      <c r="E44" s="39">
        <f>IF(G18=0,(G19-G27)/G27*50,(G18-G27)/G27*50)</f>
        <v>-1.9725557461406518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2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8079</v>
      </c>
      <c r="C2" s="99"/>
      <c r="D2" s="99" t="s">
        <v>65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445</v>
      </c>
      <c r="H3" s="15" t="s">
        <v>328</v>
      </c>
      <c r="I3" s="21" t="s">
        <v>8</v>
      </c>
      <c r="J3" s="58">
        <f>32300/1663</f>
        <v>19.42273000601323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73000</v>
      </c>
      <c r="F19" s="87">
        <v>1450</v>
      </c>
      <c r="G19" s="86">
        <v>550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291/15</f>
        <v>19.4</v>
      </c>
      <c r="K20" s="59">
        <v>46.4</v>
      </c>
      <c r="L20" s="41">
        <v>14784</v>
      </c>
      <c r="M20" s="41">
        <v>11562</v>
      </c>
      <c r="N20" s="41">
        <v>1500</v>
      </c>
      <c r="O20" s="60">
        <v>10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19.42249</v>
      </c>
      <c r="K21" s="59">
        <v>48.1</v>
      </c>
      <c r="L21" s="41">
        <v>13867</v>
      </c>
      <c r="M21" s="41">
        <v>8664</v>
      </c>
      <c r="N21" s="41">
        <v>2046</v>
      </c>
      <c r="O21" s="60">
        <v>10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20.759104</v>
      </c>
      <c r="K22" s="64">
        <v>49.1</v>
      </c>
      <c r="L22" s="41">
        <v>13774</v>
      </c>
      <c r="M22" s="41">
        <v>8864</v>
      </c>
      <c r="N22" s="41">
        <v>1348</v>
      </c>
      <c r="O22" s="64">
        <v>10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37500</v>
      </c>
      <c r="F24" s="87">
        <v>1050</v>
      </c>
      <c r="G24" s="86">
        <v>300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38125</v>
      </c>
      <c r="F25" s="83">
        <v>1171</v>
      </c>
      <c r="G25" s="66">
        <v>323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18840</v>
      </c>
      <c r="F26" s="83">
        <v>359</v>
      </c>
      <c r="G26" s="66">
        <v>-175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72205</v>
      </c>
      <c r="F27" s="65">
        <v>887</v>
      </c>
      <c r="G27" s="65">
        <v>223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73110.27065087463</v>
      </c>
      <c r="L27" s="41">
        <f>IF(OR(F38&lt;=0,F35&lt;=0,F26&lt;=0),IF(OR(F34&lt;=0,F31&lt;=0),IF(OR(F30&lt;=0,F27&lt;=0),0,F27/F30*F26),(F31/F34+F27/F30)/2*F26),(F35/F38+F31/F34+F27/F30)/3*F26)</f>
        <v>1001.5908720421091</v>
      </c>
      <c r="M27" s="41">
        <f>IF(OR(G38&lt;=0,G35&lt;=0,G26&lt;=0),IF(OR(G34&lt;=0,G31&lt;=0),IF(OR(G30&lt;=0,G27&lt;=0),0,G27/G30*G26),(G31/G34+G27/G30)/2*G26),(G35/G38+G31/G34+G27/G30)/3*G26)</f>
        <v>-636.6543367089118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55006</v>
      </c>
      <c r="F28" s="65">
        <v>1000</v>
      </c>
      <c r="G28" s="65">
        <v>494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74552.8023339835</v>
      </c>
      <c r="L28" s="41">
        <f>IF(OR(F37&lt;=0,F35&lt;=0,F25&lt;=0),IF(OR(F33&lt;=0,F31&lt;=0),IF(OR(F29&lt;=0,F27&lt;=0),0,F27/F29*F25),(F31/F33+F27/F29)/2*F25),(F35/F37+F31/F33+F27/F29)/3*F25)</f>
        <v>1537.7595798432485</v>
      </c>
      <c r="M28" s="41">
        <f>IF(OR(G37&lt;=0,G35&lt;=0,G25&lt;=0),IF(OR(G33&lt;=0,G31&lt;=0),IF(OR(G29&lt;=0,G27&lt;=0),0,G27/G29*G25),(G31/G33+G27/G29)/2*G25),(G35/G37+G31/G33+G27/G29)/3*G25)</f>
        <v>513.7689627159772</v>
      </c>
    </row>
    <row r="29" spans="1:13" ht="13.5" customHeight="1">
      <c r="A29" s="8"/>
      <c r="B29" s="102"/>
      <c r="C29" s="25" t="s">
        <v>18</v>
      </c>
      <c r="D29" s="81" t="s">
        <v>158</v>
      </c>
      <c r="E29" s="65">
        <v>37150</v>
      </c>
      <c r="F29" s="65">
        <v>900</v>
      </c>
      <c r="G29" s="65">
        <v>329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159</v>
      </c>
      <c r="E30" s="65">
        <v>18393</v>
      </c>
      <c r="F30" s="65">
        <v>513</v>
      </c>
      <c r="G30" s="65">
        <v>239</v>
      </c>
      <c r="H30" s="15"/>
      <c r="I30" s="105" t="s">
        <v>103</v>
      </c>
      <c r="J30" s="105"/>
      <c r="K30" s="41">
        <f>IF(E18=0,E19,E18)</f>
        <v>73000</v>
      </c>
      <c r="L30" s="41">
        <f>IF(F18=0,F19,F18)</f>
        <v>1450</v>
      </c>
      <c r="M30" s="41">
        <f>IF(G18=0,G19,G18)</f>
        <v>550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71299</v>
      </c>
      <c r="F31" s="65">
        <v>1566</v>
      </c>
      <c r="G31" s="65">
        <v>1313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53502</v>
      </c>
      <c r="F32" s="65">
        <v>1233</v>
      </c>
      <c r="G32" s="65">
        <v>540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160</v>
      </c>
      <c r="E33" s="65">
        <v>36540</v>
      </c>
      <c r="F33" s="65">
        <v>961</v>
      </c>
      <c r="G33" s="65">
        <v>428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161</v>
      </c>
      <c r="E34" s="65">
        <v>18970</v>
      </c>
      <c r="F34" s="65">
        <v>428</v>
      </c>
      <c r="G34" s="65">
        <v>207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67718</v>
      </c>
      <c r="F35" s="65">
        <v>1649</v>
      </c>
      <c r="G35" s="65">
        <v>742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50245</v>
      </c>
      <c r="F36" s="65">
        <v>1396</v>
      </c>
      <c r="G36" s="65">
        <v>764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162</v>
      </c>
      <c r="E37" s="65">
        <v>34347</v>
      </c>
      <c r="F37" s="65">
        <v>1245</v>
      </c>
      <c r="G37" s="65">
        <v>723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163</v>
      </c>
      <c r="E38" s="65">
        <v>17111</v>
      </c>
      <c r="F38" s="65">
        <v>553</v>
      </c>
      <c r="G38" s="65">
        <v>316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112.21222320921842</v>
      </c>
      <c r="C41" s="39">
        <f>IF(B43&lt;=0,-100,IF((30-B43)*5&lt;-100,-100,(30-B43)*5))</f>
        <v>71.51818181818182</v>
      </c>
      <c r="D41" s="39">
        <f>IF(D42+D43+D44&lt;-20,-20,IF((D42+D43+D44)&gt;20,20,D42+D43+D44))</f>
        <v>-20</v>
      </c>
      <c r="E41" s="39">
        <f>IF(E42+E43+E44&lt;-100,-100,IF(E42+E43+E44&gt;50,50,E42+E43+E44))</f>
        <v>50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0.7697451651690882</v>
      </c>
      <c r="L41" s="39">
        <f>IF(N20/E27*100&gt;30,30,N20/E27*100)</f>
        <v>2.077418461325393</v>
      </c>
      <c r="M41" s="39">
        <f>IF((L20-M20)*50/E27&lt;-50,-50,IF((L20-M20)*50/E27&gt;30,30,(L20-M20)*50/E27))</f>
        <v>2.231147427463472</v>
      </c>
      <c r="N41" s="39">
        <f>(K20-50)/2</f>
        <v>-1.8000000000000007</v>
      </c>
      <c r="O41" s="39">
        <f>IF(O20=0,-30,((O20/G3)*100-1)*30)</f>
        <v>37.41573033707866</v>
      </c>
      <c r="P41" s="76">
        <f>G3*G4/1000</f>
        <v>445</v>
      </c>
    </row>
    <row r="42" spans="2:14" ht="13.5" customHeight="1">
      <c r="B42" s="29" t="s">
        <v>326</v>
      </c>
      <c r="C42" s="12"/>
      <c r="D42" s="39">
        <f>IF(OR(E26=0,E30=0),0,(E26-E30)/E30*100)</f>
        <v>2.4302723862338933</v>
      </c>
      <c r="E42" s="39">
        <f>IF(E18=0,(E19-E27)/E27*50,(E18-E27)/E27*50)</f>
        <v>0.5505158922512291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15.696363636363637</v>
      </c>
      <c r="C43" s="12"/>
      <c r="D43" s="39">
        <f>IF(OR(F26=0,F30=0),0,IF(F30&lt;0,(F26-F30)/(-F30)*50,(F26-F30)/(F30)*50))</f>
        <v>-15.009746588693956</v>
      </c>
      <c r="E43" s="39">
        <f>IF(F18=0,(F19-F27)/F27*50,(F18-F27)/F27*50)</f>
        <v>31.73618940248027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-173.22175732217573</v>
      </c>
      <c r="E44" s="39">
        <f>IF(G18=0,(G19-G27)/G27*50,(G18-G27)/G27*50)</f>
        <v>73.31838565022422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3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8917</v>
      </c>
      <c r="C2" s="99"/>
      <c r="D2" s="99" t="s">
        <v>64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445</v>
      </c>
      <c r="H3" s="15" t="s">
        <v>327</v>
      </c>
      <c r="I3" s="21" t="s">
        <v>8</v>
      </c>
      <c r="J3" s="58">
        <f>2900/174</f>
        <v>16.666666666666668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32000</v>
      </c>
      <c r="F18" s="87">
        <v>800</v>
      </c>
      <c r="G18" s="86">
        <v>200</v>
      </c>
      <c r="H18" s="15" t="s">
        <v>340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45000</v>
      </c>
      <c r="F19" s="87">
        <v>2800</v>
      </c>
      <c r="G19" s="86">
        <v>1600</v>
      </c>
      <c r="H19" s="15"/>
      <c r="I19" s="23"/>
      <c r="J19" s="61">
        <f>231/13.68</f>
        <v>16.885964912280702</v>
      </c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16.9</v>
      </c>
      <c r="K20" s="59">
        <v>39.3</v>
      </c>
      <c r="L20" s="41">
        <v>8997</v>
      </c>
      <c r="M20" s="41">
        <v>11555</v>
      </c>
      <c r="N20" s="41"/>
      <c r="O20" s="60">
        <v>20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16.899737</v>
      </c>
      <c r="K21" s="59">
        <v>44.9</v>
      </c>
      <c r="L21" s="41">
        <v>5758</v>
      </c>
      <c r="M21" s="41">
        <v>5752</v>
      </c>
      <c r="N21" s="41">
        <v>192</v>
      </c>
      <c r="O21" s="60">
        <v>20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16.899737</v>
      </c>
      <c r="K22" s="64">
        <v>45</v>
      </c>
      <c r="L22" s="41">
        <v>6830</v>
      </c>
      <c r="M22" s="41">
        <v>6581</v>
      </c>
      <c r="N22" s="41">
        <v>168</v>
      </c>
      <c r="O22" s="64">
        <v>20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20000</v>
      </c>
      <c r="F24" s="87">
        <v>1050</v>
      </c>
      <c r="G24" s="86">
        <v>600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16561</v>
      </c>
      <c r="F25" s="83">
        <v>505</v>
      </c>
      <c r="G25" s="66">
        <v>29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7902</v>
      </c>
      <c r="F26" s="83">
        <v>398</v>
      </c>
      <c r="G26" s="66">
        <v>231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46497</v>
      </c>
      <c r="F27" s="65">
        <v>3419</v>
      </c>
      <c r="G27" s="65">
        <v>2022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34962.690576514295</v>
      </c>
      <c r="L27" s="41">
        <f>IF(OR(F38&lt;=0,F35&lt;=0,F26&lt;=0),IF(OR(F34&lt;=0,F31&lt;=0),IF(OR(F30&lt;=0,F27&lt;=0),0,F27/F30*F26),(F31/F34+F27/F30)/2*F26),(F35/F38+F31/F34+F27/F30)/3*F26)</f>
        <v>1660.1834426973332</v>
      </c>
      <c r="M27" s="41">
        <f>IF(OR(G38&lt;=0,G35&lt;=0,G26&lt;=0),IF(OR(G34&lt;=0,G31&lt;=0),IF(OR(G30&lt;=0,G27&lt;=0),0,G27/G30*G26),(G31/G34+G27/G30)/2*G26),(G35/G38+G31/G34+G27/G30)/3*G26)</f>
        <v>965.3261339132011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35632</v>
      </c>
      <c r="F28" s="65">
        <v>2939</v>
      </c>
      <c r="G28" s="65">
        <v>1760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33911.82654203089</v>
      </c>
      <c r="L28" s="41">
        <f>IF(OR(F37&lt;=0,F35&lt;=0,F25&lt;=0),IF(OR(F33&lt;=0,F31&lt;=0),IF(OR(F29&lt;=0,F27&lt;=0),0,F27/F29*F25),(F31/F33+F27/F29)/2*F25),(F35/F37+F31/F33+F27/F29)/3*F25)</f>
        <v>977.9706386887996</v>
      </c>
      <c r="M28" s="41">
        <f>IF(OR(G37&lt;=0,G35&lt;=0,G25&lt;=0),IF(OR(G33&lt;=0,G31&lt;=0),IF(OR(G29&lt;=0,G27&lt;=0),0,G27/G29*G25),(G31/G33+G27/G29)/2*G25),(G35/G37+G31/G33+G27/G29)/3*G25)</f>
        <v>56.077689381543436</v>
      </c>
    </row>
    <row r="29" spans="1:13" ht="13.5" customHeight="1">
      <c r="A29" s="8"/>
      <c r="B29" s="102"/>
      <c r="C29" s="25" t="s">
        <v>18</v>
      </c>
      <c r="D29" s="81" t="s">
        <v>152</v>
      </c>
      <c r="E29" s="65">
        <v>23937</v>
      </c>
      <c r="F29" s="65">
        <v>2217</v>
      </c>
      <c r="G29" s="65">
        <v>1333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153</v>
      </c>
      <c r="E30" s="65">
        <v>10474</v>
      </c>
      <c r="F30" s="65">
        <v>991</v>
      </c>
      <c r="G30" s="65">
        <v>585</v>
      </c>
      <c r="H30" s="15"/>
      <c r="I30" s="105" t="s">
        <v>103</v>
      </c>
      <c r="J30" s="105"/>
      <c r="K30" s="41">
        <f>IF(E18=0,E19,E18)</f>
        <v>32000</v>
      </c>
      <c r="L30" s="41">
        <f>IF(F18=0,F19,F18)</f>
        <v>800</v>
      </c>
      <c r="M30" s="41">
        <f>IF(G18=0,G19,G18)</f>
        <v>200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43258</v>
      </c>
      <c r="F31" s="65">
        <v>4406</v>
      </c>
      <c r="G31" s="65">
        <v>2607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30821</v>
      </c>
      <c r="F32" s="65">
        <v>3038</v>
      </c>
      <c r="G32" s="65">
        <v>1791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154</v>
      </c>
      <c r="E33" s="65">
        <v>20553</v>
      </c>
      <c r="F33" s="65">
        <v>1917</v>
      </c>
      <c r="G33" s="65">
        <v>1126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155</v>
      </c>
      <c r="E34" s="65">
        <v>9606</v>
      </c>
      <c r="F34" s="65">
        <v>959</v>
      </c>
      <c r="G34" s="65">
        <v>566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34991</v>
      </c>
      <c r="F35" s="65">
        <v>3960</v>
      </c>
      <c r="G35" s="65">
        <v>2349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24891</v>
      </c>
      <c r="F36" s="65">
        <v>2911</v>
      </c>
      <c r="G36" s="65">
        <v>1731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156</v>
      </c>
      <c r="E37" s="65">
        <v>16695</v>
      </c>
      <c r="F37" s="65">
        <v>2011</v>
      </c>
      <c r="G37" s="65">
        <v>1193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157</v>
      </c>
      <c r="E38" s="65">
        <v>8079</v>
      </c>
      <c r="F38" s="65">
        <v>886</v>
      </c>
      <c r="G38" s="65">
        <v>525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-129.6525588302004</v>
      </c>
      <c r="C41" s="39">
        <f>IF(B43&lt;=0,-100,IF((30-B43)*5&lt;-100,-100,(30-B43)*5))</f>
        <v>-38.01249999999996</v>
      </c>
      <c r="D41" s="39">
        <f>IF(D42+D43+D44&lt;-20,-20,IF((D42+D43+D44)&gt;20,20,D42+D43+D44))</f>
        <v>-20</v>
      </c>
      <c r="E41" s="39">
        <f>IF(E42+E43+E44&lt;-100,-100,IF(E42+E43+E44&gt;50,50,E42+E43+E44))</f>
        <v>-98.94425209032755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-100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0.573447685868741</v>
      </c>
      <c r="L41" s="39">
        <f>IF(N20/E27*100&gt;30,30,N20/E27*100)</f>
        <v>0</v>
      </c>
      <c r="M41" s="39">
        <f>IF((L20-M20)*50/E27&lt;-50,-50,IF((L20-M20)*50/E27&gt;30,30,(L20-M20)*50/E27))</f>
        <v>-2.750715099898918</v>
      </c>
      <c r="N41" s="39">
        <f>(K20-50)/2</f>
        <v>-5.350000000000001</v>
      </c>
      <c r="O41" s="39">
        <f>IF(O20=0,-30,((O20/G3)*100-1)*30)</f>
        <v>104.83146067415731</v>
      </c>
      <c r="P41" s="76">
        <f>G3*G4/1000</f>
        <v>44.5</v>
      </c>
    </row>
    <row r="42" spans="2:14" ht="13.5" customHeight="1">
      <c r="B42" s="29" t="s">
        <v>326</v>
      </c>
      <c r="C42" s="12"/>
      <c r="D42" s="39">
        <f>IF(OR(E26=0,E30=0),0,(E26-E30)/E30*100)</f>
        <v>-24.55604353637579</v>
      </c>
      <c r="E42" s="39">
        <f>IF(E18=0,(E19-E27)/E27*50,(E18-E27)/E27*50)</f>
        <v>-15.589177796416973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-28.888888888888886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37.60249999999999</v>
      </c>
      <c r="C43" s="12"/>
      <c r="D43" s="39">
        <f>IF(OR(F26=0,F30=0),0,IF(F30&lt;0,(F26-F30)/(-F30)*50,(F26-F30)/(F30)*50))</f>
        <v>-29.919273461150354</v>
      </c>
      <c r="E43" s="39">
        <f>IF(F18=0,(F19-F27)/F27*50,(F18-F27)/F27*50)</f>
        <v>-38.3006727113191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-71.42857142857143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-60.51282051282051</v>
      </c>
      <c r="E44" s="39">
        <f>IF(G18=0,(G19-G27)/G27*50,(G18-G27)/G27*50)</f>
        <v>-45.05440158259149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-87.5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9603</v>
      </c>
      <c r="C2" s="99"/>
      <c r="D2" s="99" t="s">
        <v>61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1599</v>
      </c>
      <c r="H3" s="15" t="s">
        <v>327</v>
      </c>
      <c r="I3" s="21" t="s">
        <v>8</v>
      </c>
      <c r="J3" s="58">
        <f>160000/4856</f>
        <v>32.948929159802304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389000</v>
      </c>
      <c r="F19" s="87">
        <v>6400</v>
      </c>
      <c r="G19" s="86">
        <v>3800</v>
      </c>
      <c r="H19" s="15" t="s">
        <v>325</v>
      </c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34.261</v>
      </c>
      <c r="K20" s="59">
        <v>47.3</v>
      </c>
      <c r="L20" s="41">
        <v>29531</v>
      </c>
      <c r="M20" s="41">
        <v>189</v>
      </c>
      <c r="N20" s="41"/>
      <c r="O20" s="60">
        <v>20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33.384467</v>
      </c>
      <c r="K21" s="59">
        <v>44.7</v>
      </c>
      <c r="L21" s="41">
        <v>19834</v>
      </c>
      <c r="M21" s="41">
        <v>307</v>
      </c>
      <c r="N21" s="41"/>
      <c r="O21" s="60">
        <v>20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33.389259</v>
      </c>
      <c r="K22" s="64">
        <v>50.9</v>
      </c>
      <c r="L22" s="41">
        <v>25396</v>
      </c>
      <c r="M22" s="41">
        <v>288</v>
      </c>
      <c r="N22" s="41">
        <v>0</v>
      </c>
      <c r="O22" s="64">
        <v>17.5</v>
      </c>
      <c r="P22" s="41"/>
    </row>
    <row r="23" spans="1:8" ht="13.5" customHeight="1">
      <c r="A23" s="7"/>
      <c r="B23" s="105"/>
      <c r="C23" s="102"/>
      <c r="D23" s="85" t="s">
        <v>48</v>
      </c>
      <c r="E23" s="86">
        <v>175000</v>
      </c>
      <c r="F23" s="87">
        <v>2400</v>
      </c>
      <c r="G23" s="86">
        <v>1500</v>
      </c>
      <c r="H23" s="15" t="s">
        <v>325</v>
      </c>
    </row>
    <row r="24" spans="1:8" ht="13.5" customHeight="1">
      <c r="A24" s="7"/>
      <c r="B24" s="105"/>
      <c r="C24" s="102"/>
      <c r="D24" s="85" t="s">
        <v>17</v>
      </c>
      <c r="E24" s="86">
        <v>187000</v>
      </c>
      <c r="F24" s="87">
        <v>3800</v>
      </c>
      <c r="G24" s="86">
        <v>2300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173282</v>
      </c>
      <c r="F25" s="83">
        <v>2721</v>
      </c>
      <c r="G25" s="66">
        <v>1600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85396</v>
      </c>
      <c r="F26" s="83">
        <v>1459</v>
      </c>
      <c r="G26" s="66">
        <v>936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362084</v>
      </c>
      <c r="F27" s="65">
        <v>7510</v>
      </c>
      <c r="G27" s="65">
        <v>4521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391500.6727435863</v>
      </c>
      <c r="L27" s="41">
        <f>IF(OR(F38&lt;=0,F35&lt;=0,F26&lt;=0),IF(OR(F34&lt;=0,F31&lt;=0),IF(OR(F30&lt;=0,F27&lt;=0),0,F27/F30*F26),(F31/F34+F27/F30)/2*F26),(F35/F38+F31/F34+F27/F30)/3*F26)</f>
        <v>8083.2700186259135</v>
      </c>
      <c r="M27" s="41">
        <f>IF(OR(G38&lt;=0,G35&lt;=0,G26&lt;=0),IF(OR(G34&lt;=0,G31&lt;=0),IF(OR(G30&lt;=0,G27&lt;=0),0,G27/G30*G26),(G31/G34+G27/G30)/2*G26),(G35/G38+G31/G34+G27/G30)/3*G26)</f>
        <v>4429.512945834818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251563</v>
      </c>
      <c r="F28" s="65">
        <v>3183</v>
      </c>
      <c r="G28" s="65">
        <v>1987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380387.2112625797</v>
      </c>
      <c r="L28" s="41">
        <f>IF(OR(F37&lt;=0,F35&lt;=0,F25&lt;=0),IF(OR(F33&lt;=0,F31&lt;=0),IF(OR(F29&lt;=0,F27&lt;=0),0,F27/F29*F25),(F31/F33+F27/F29)/2*F25),(F35/F37+F31/F33+F27/F29)/3*F25)</f>
        <v>6948.769574144524</v>
      </c>
      <c r="M28" s="41">
        <f>IF(OR(G37&lt;=0,G35&lt;=0,G25&lt;=0),IF(OR(G33&lt;=0,G31&lt;=0),IF(OR(G29&lt;=0,G27&lt;=0),0,G27/G29*G25),(G31/G33+G27/G29)/2*G25),(G35/G37+G31/G33+G27/G29)/3*G25)</f>
        <v>3993.3979670967824</v>
      </c>
    </row>
    <row r="29" spans="1:13" ht="13.5" customHeight="1">
      <c r="A29" s="8"/>
      <c r="B29" s="102"/>
      <c r="C29" s="25" t="s">
        <v>18</v>
      </c>
      <c r="D29" s="81" t="s">
        <v>146</v>
      </c>
      <c r="E29" s="65">
        <v>168621</v>
      </c>
      <c r="F29" s="65">
        <v>3347</v>
      </c>
      <c r="G29" s="65">
        <v>2030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147</v>
      </c>
      <c r="E30" s="65">
        <v>80813</v>
      </c>
      <c r="F30" s="65">
        <v>1569</v>
      </c>
      <c r="G30" s="65">
        <v>966</v>
      </c>
      <c r="H30" s="15"/>
      <c r="I30" s="105" t="s">
        <v>103</v>
      </c>
      <c r="J30" s="105"/>
      <c r="K30" s="41">
        <f>IF(E18=0,E19,E18)</f>
        <v>389000</v>
      </c>
      <c r="L30" s="41">
        <f>IF(F18=0,F19,F18)</f>
        <v>6400</v>
      </c>
      <c r="M30" s="41">
        <f>IF(G18=0,G19,G18)</f>
        <v>3800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328980</v>
      </c>
      <c r="F31" s="65">
        <v>8082</v>
      </c>
      <c r="G31" s="65">
        <v>4867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226053</v>
      </c>
      <c r="F32" s="65">
        <v>3370</v>
      </c>
      <c r="G32" s="65">
        <v>1952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148</v>
      </c>
      <c r="E33" s="65">
        <v>148020</v>
      </c>
      <c r="F33" s="65">
        <v>2973</v>
      </c>
      <c r="G33" s="65">
        <v>1741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149</v>
      </c>
      <c r="E34" s="65">
        <v>70598</v>
      </c>
      <c r="F34" s="65">
        <v>1454</v>
      </c>
      <c r="G34" s="65">
        <v>790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290593</v>
      </c>
      <c r="F35" s="65">
        <v>6483</v>
      </c>
      <c r="G35" s="65">
        <v>6340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198021</v>
      </c>
      <c r="F36" s="65">
        <v>2313</v>
      </c>
      <c r="G36" s="65">
        <v>2411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150</v>
      </c>
      <c r="E37" s="65">
        <v>131151</v>
      </c>
      <c r="F37" s="65">
        <v>2402</v>
      </c>
      <c r="G37" s="65">
        <v>2572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151</v>
      </c>
      <c r="E38" s="65">
        <v>62992</v>
      </c>
      <c r="F38" s="65">
        <v>1033</v>
      </c>
      <c r="G38" s="65">
        <v>1889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32.60065663574346</v>
      </c>
      <c r="C41" s="39">
        <f>IF(B43&lt;=0,-100,IF((30-B43)*5&lt;-100,-100,(30-B43)*5))</f>
        <v>77.9166592105263</v>
      </c>
      <c r="D41" s="39">
        <f>IF(D42+D43+D44&lt;-20,-20,IF((D42+D43+D44)&gt;20,20,D42+D43+D44))</f>
        <v>-0.9398902547281116</v>
      </c>
      <c r="E41" s="39">
        <f>IF(E42+E43+E44&lt;-100,-100,IF(E42+E43+E44&gt;50,50,E42+E43+E44))</f>
        <v>-11.64722895894404</v>
      </c>
      <c r="F41" s="39">
        <f>IF((F42+F43+F44)/2&lt;-20,-20,IF((F42+F43+F44)/2&gt;20,20,(F42+F43+F44)/2))</f>
        <v>0</v>
      </c>
      <c r="G41" s="39">
        <f>IF(G42+G43+G44&gt;50,50,IF(G42+G43+G44&lt;-100,-100,G42+G43+G44))</f>
        <v>-78.04182625827531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26.3010940410299</v>
      </c>
      <c r="J41" s="39">
        <f>IF(J42+J43+J44&gt;20,20,IF(J42+J43+J44&lt;-50,-50,J42+J43+J44))</f>
        <v>0</v>
      </c>
      <c r="K41" s="39">
        <f>POWER(LOG(J3*G3/1000),4)</f>
        <v>8.786574469440207</v>
      </c>
      <c r="L41" s="39">
        <f>IF(N20/E27*100&gt;30,30,N20/E27*100)</f>
        <v>0</v>
      </c>
      <c r="M41" s="39">
        <f>IF((L20-M20)*50/E27&lt;-50,-50,IF((L20-M20)*50/E27&gt;30,30,(L20-M20)*50/E27))</f>
        <v>4.051822229096011</v>
      </c>
      <c r="N41" s="39">
        <f>(K20-50)/2</f>
        <v>-1.3500000000000014</v>
      </c>
      <c r="O41" s="39">
        <f>IF(O20=0,-30,((O20/G3)*100-1)*30)</f>
        <v>7.5234521575985</v>
      </c>
      <c r="P41" s="76">
        <f>G3*G4/1000</f>
        <v>159.9</v>
      </c>
    </row>
    <row r="42" spans="2:14" ht="13.5" customHeight="1">
      <c r="B42" s="29" t="s">
        <v>326</v>
      </c>
      <c r="C42" s="12"/>
      <c r="D42" s="39">
        <f>IF(OR(E26=0,E30=0),0,(E26-E30)/E30*100)</f>
        <v>5.6711172707361435</v>
      </c>
      <c r="E42" s="39">
        <f>IF(E18=0,(E19-E27)/E27*50,(E18-E27)/E27*50)</f>
        <v>3.7168170921664587</v>
      </c>
      <c r="F42" s="39">
        <f>IF(OR(E17=0,E19=0),0,(E17-E19)/E19*100)</f>
        <v>0</v>
      </c>
      <c r="G42" s="39">
        <f>IF(OR(E23=0,E24=0),0,(E23-E24)/E24*100)</f>
        <v>-6.417112299465241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14.416668157894739</v>
      </c>
      <c r="C43" s="12"/>
      <c r="D43" s="39">
        <f>IF(OR(F26=0,F30=0),0,IF(F30&lt;0,(F26-F30)/(-F30)*50,(F26-F30)/(F30)*50))</f>
        <v>-3.5054174633524537</v>
      </c>
      <c r="E43" s="39">
        <f>IF(F18=0,(F19-F27)/F27*50,(F18-F27)/F27*50)</f>
        <v>-7.390146471371504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-36.84210526315789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-3.1055900621118013</v>
      </c>
      <c r="E44" s="39">
        <f>IF(G18=0,(G19-G27)/G27*50,(G18-G27)/G27*50)</f>
        <v>-7.973899579738995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-34.78260869565217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5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9678</v>
      </c>
      <c r="C2" s="99"/>
      <c r="D2" s="99" t="s">
        <v>63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637</v>
      </c>
      <c r="H3" s="15" t="s">
        <v>327</v>
      </c>
      <c r="I3" s="21" t="s">
        <v>8</v>
      </c>
      <c r="J3" s="58">
        <f>147600/4497</f>
        <v>32.82188125416945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71600</v>
      </c>
      <c r="F18" s="87">
        <v>3400</v>
      </c>
      <c r="G18" s="86">
        <v>1500</v>
      </c>
      <c r="H18" s="15" t="s">
        <v>336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71900</v>
      </c>
      <c r="F19" s="87">
        <v>4400</v>
      </c>
      <c r="G19" s="86">
        <v>2300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499/15</f>
        <v>33.266666666666666</v>
      </c>
      <c r="K20" s="59">
        <v>43.7</v>
      </c>
      <c r="L20" s="41">
        <v>14889</v>
      </c>
      <c r="M20" s="41">
        <v>26605</v>
      </c>
      <c r="N20" s="41">
        <v>4900</v>
      </c>
      <c r="O20" s="60">
        <v>18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32.859118</v>
      </c>
      <c r="K21" s="59">
        <v>38.7</v>
      </c>
      <c r="L21" s="41">
        <v>14071</v>
      </c>
      <c r="M21" s="41">
        <v>30337</v>
      </c>
      <c r="N21" s="41">
        <v>5974</v>
      </c>
      <c r="O21" s="60">
        <v>18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29.853076</v>
      </c>
      <c r="K22" s="64">
        <v>40.8</v>
      </c>
      <c r="L22" s="41">
        <v>13631</v>
      </c>
      <c r="M22" s="41">
        <v>29938</v>
      </c>
      <c r="N22" s="41">
        <v>5400</v>
      </c>
      <c r="O22" s="64">
        <v>18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37500</v>
      </c>
      <c r="F24" s="87">
        <v>3300</v>
      </c>
      <c r="G24" s="86">
        <v>1800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37236</v>
      </c>
      <c r="F25" s="83">
        <v>2833</v>
      </c>
      <c r="G25" s="66">
        <v>1476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18375</v>
      </c>
      <c r="F26" s="83">
        <v>974</v>
      </c>
      <c r="G26" s="66">
        <v>499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68626</v>
      </c>
      <c r="F27" s="65">
        <v>4416</v>
      </c>
      <c r="G27" s="65">
        <v>3035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68344.63030266015</v>
      </c>
      <c r="L27" s="41">
        <f>IF(OR(F38&lt;=0,F35&lt;=0,F26&lt;=0),IF(OR(F34&lt;=0,F31&lt;=0),IF(OR(F30&lt;=0,F27&lt;=0),0,F27/F30*F26),(F31/F34+F27/F30)/2*F26),(F35/F38+F31/F34+F27/F30)/3*F26)</f>
        <v>2372.00250481936</v>
      </c>
      <c r="M27" s="41">
        <f>IF(OR(G38&lt;=0,G35&lt;=0,G26&lt;=0),IF(OR(G34&lt;=0,G31&lt;=0),IF(OR(G30&lt;=0,G27&lt;=0),0,G27/G30*G26),(G31/G34+G27/G30)/2*G26),(G35/G38+G31/G34+G27/G30)/3*G26)</f>
        <v>1373.1586470753919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52237</v>
      </c>
      <c r="F28" s="65">
        <v>3915</v>
      </c>
      <c r="G28" s="65">
        <v>2592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71939.6710877409</v>
      </c>
      <c r="L28" s="41">
        <f>IF(OR(F37&lt;=0,F35&lt;=0,F25&lt;=0),IF(OR(F33&lt;=0,F31&lt;=0),IF(OR(F29&lt;=0,F27&lt;=0),0,F27/F29*F25),(F31/F33+F27/F29)/2*F25),(F35/F37+F31/F33+F27/F29)/3*F25)</f>
        <v>3730.9329834251203</v>
      </c>
      <c r="M28" s="41">
        <f>IF(OR(G37&lt;=0,G35&lt;=0,G25&lt;=0),IF(OR(G33&lt;=0,G31&lt;=0),IF(OR(G29&lt;=0,G27&lt;=0),0,G27/G29*G25),(G31/G33+G27/G29)/2*G25),(G35/G37+G31/G33+G27/G29)/3*G25)</f>
        <v>1818.7332508113525</v>
      </c>
    </row>
    <row r="29" spans="1:13" ht="13.5" customHeight="1">
      <c r="A29" s="8"/>
      <c r="B29" s="102"/>
      <c r="C29" s="25" t="s">
        <v>18</v>
      </c>
      <c r="D29" s="81" t="s">
        <v>140</v>
      </c>
      <c r="E29" s="65">
        <v>36230</v>
      </c>
      <c r="F29" s="65">
        <v>3422</v>
      </c>
      <c r="G29" s="65">
        <v>2382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141</v>
      </c>
      <c r="E30" s="65">
        <v>18856</v>
      </c>
      <c r="F30" s="65">
        <v>2115</v>
      </c>
      <c r="G30" s="65">
        <v>1618</v>
      </c>
      <c r="H30" s="15"/>
      <c r="I30" s="105" t="s">
        <v>103</v>
      </c>
      <c r="J30" s="105"/>
      <c r="K30" s="41">
        <f>IF(E18=0,E19,E18)</f>
        <v>71600</v>
      </c>
      <c r="L30" s="41">
        <f>IF(F18=0,F19,F18)</f>
        <v>3400</v>
      </c>
      <c r="M30" s="41">
        <f>IF(G18=0,G19,G18)</f>
        <v>1500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68023</v>
      </c>
      <c r="F31" s="65">
        <v>3788</v>
      </c>
      <c r="G31" s="65">
        <v>1742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50226</v>
      </c>
      <c r="F32" s="65">
        <v>2934</v>
      </c>
      <c r="G32" s="65">
        <v>1088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142</v>
      </c>
      <c r="E33" s="65">
        <v>34520</v>
      </c>
      <c r="F33" s="65">
        <v>2801</v>
      </c>
      <c r="G33" s="65">
        <v>1048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143</v>
      </c>
      <c r="E34" s="65">
        <v>17503</v>
      </c>
      <c r="F34" s="65">
        <v>1237</v>
      </c>
      <c r="G34" s="65">
        <v>317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63975</v>
      </c>
      <c r="F35" s="65">
        <v>1550</v>
      </c>
      <c r="G35" s="65">
        <v>352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46374</v>
      </c>
      <c r="F36" s="65">
        <v>14</v>
      </c>
      <c r="G36" s="65">
        <v>-349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144</v>
      </c>
      <c r="E37" s="65">
        <v>33126</v>
      </c>
      <c r="F37" s="65">
        <v>1185</v>
      </c>
      <c r="G37" s="65">
        <v>463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145</v>
      </c>
      <c r="E38" s="65">
        <v>17612</v>
      </c>
      <c r="F38" s="65">
        <v>719</v>
      </c>
      <c r="G38" s="65">
        <v>398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-9.923315401691973</v>
      </c>
      <c r="C41" s="39">
        <f>IF(B43&lt;=0,-100,IF((30-B43)*5&lt;-100,-100,(30-B43)*5))</f>
        <v>79.36377777777778</v>
      </c>
      <c r="D41" s="39">
        <f>IF(D42+D43+D44&lt;-20,-20,IF((D42+D43+D44)&gt;20,20,D42+D43+D44))</f>
        <v>-20</v>
      </c>
      <c r="E41" s="39">
        <f>IF(E42+E43+E44&lt;-100,-100,IF(E42+E43+E44&gt;50,50,E42+E43+E44))</f>
        <v>-34.625109077275255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-57.92712759816829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3.0387453813048806</v>
      </c>
      <c r="L41" s="39">
        <f>IF(N20/E27*100&gt;30,30,N20/E27*100)</f>
        <v>7.140150963191793</v>
      </c>
      <c r="M41" s="39">
        <f>IF((L20-M20)*50/E27&lt;-50,-50,IF((L20-M20)*50/E27&gt;30,30,(L20-M20)*50/E27))</f>
        <v>-8.536123335179086</v>
      </c>
      <c r="N41" s="39">
        <f>(K20-50)/2</f>
        <v>-3.1499999999999986</v>
      </c>
      <c r="O41" s="39">
        <f>IF(O20=0,-30,((O20/G3)*100-1)*30)</f>
        <v>54.77237048665621</v>
      </c>
      <c r="P41" s="76">
        <f>G3*G4/1000</f>
        <v>637</v>
      </c>
    </row>
    <row r="42" spans="2:14" ht="13.5" customHeight="1">
      <c r="B42" s="29" t="s">
        <v>326</v>
      </c>
      <c r="C42" s="12"/>
      <c r="D42" s="39">
        <f>IF(OR(E26=0,E30=0),0,(E26-E30)/E30*100)</f>
        <v>-2.550912176495545</v>
      </c>
      <c r="E42" s="39">
        <f>IF(E18=0,(E19-E27)/E27*50,(E18-E27)/E27*50)</f>
        <v>2.1668172412788156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-0.4172461752433936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14.127244444444443</v>
      </c>
      <c r="C43" s="12"/>
      <c r="D43" s="39">
        <f>IF(OR(F26=0,F30=0),0,IF(F30&lt;0,(F26-F30)/(-F30)*50,(F26-F30)/(F30)*50))</f>
        <v>-26.97399527186761</v>
      </c>
      <c r="E43" s="39">
        <f>IF(F18=0,(F19-F27)/F27*50,(F18-F27)/F27*50)</f>
        <v>-11.503623188405797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-22.727272727272727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-69.15945611866502</v>
      </c>
      <c r="E44" s="39">
        <f>IF(G18=0,(G19-G27)/G27*50,(G18-G27)/G27*50)</f>
        <v>-25.28830313014827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-34.78260869565217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6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9824</v>
      </c>
      <c r="C2" s="99"/>
      <c r="D2" s="99" t="s">
        <v>62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2010</v>
      </c>
      <c r="H3" s="15" t="s">
        <v>327</v>
      </c>
      <c r="I3" s="21" t="s">
        <v>8</v>
      </c>
      <c r="J3" s="58">
        <f>163100/15225</f>
        <v>10.71264367816092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82000</v>
      </c>
      <c r="F18" s="87">
        <v>6000</v>
      </c>
      <c r="G18" s="86">
        <v>3380</v>
      </c>
      <c r="H18" s="15" t="s">
        <v>334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83500</v>
      </c>
      <c r="F19" s="87">
        <v>6200</v>
      </c>
      <c r="G19" s="86">
        <v>3600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867/80.74</f>
        <v>10.738171909834035</v>
      </c>
      <c r="K20" s="59">
        <v>44.5</v>
      </c>
      <c r="L20" s="41">
        <v>16110</v>
      </c>
      <c r="M20" s="41">
        <v>514</v>
      </c>
      <c r="N20" s="41"/>
      <c r="O20" s="60">
        <v>26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10.773657</v>
      </c>
      <c r="K21" s="59">
        <v>50</v>
      </c>
      <c r="L21" s="41">
        <v>12331</v>
      </c>
      <c r="M21" s="41">
        <v>376</v>
      </c>
      <c r="N21" s="41">
        <v>1942</v>
      </c>
      <c r="O21" s="60">
        <v>26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10.774236</v>
      </c>
      <c r="K22" s="64">
        <v>48.8</v>
      </c>
      <c r="L22" s="41">
        <v>13323</v>
      </c>
      <c r="M22" s="41">
        <v>332</v>
      </c>
      <c r="N22" s="41">
        <v>1070</v>
      </c>
      <c r="O22" s="64">
        <v>18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41500</v>
      </c>
      <c r="F24" s="87">
        <v>3000</v>
      </c>
      <c r="G24" s="86">
        <v>1750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40531</v>
      </c>
      <c r="F25" s="83">
        <v>2955</v>
      </c>
      <c r="G25" s="66">
        <v>1631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20327</v>
      </c>
      <c r="F26" s="83">
        <v>1623</v>
      </c>
      <c r="G26" s="66">
        <v>867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81835</v>
      </c>
      <c r="F27" s="65">
        <v>6198</v>
      </c>
      <c r="G27" s="65">
        <v>3545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87706.51717407886</v>
      </c>
      <c r="L27" s="41">
        <f>IF(OR(F38&lt;=0,F35&lt;=0,F26&lt;=0),IF(OR(F34&lt;=0,F31&lt;=0),IF(OR(F30&lt;=0,F27&lt;=0),0,F27/F30*F26),(F31/F34+F27/F30)/2*F26),(F35/F38+F31/F34+F27/F30)/3*F26)</f>
        <v>7165.2918800166135</v>
      </c>
      <c r="M27" s="41">
        <f>IF(OR(G38&lt;=0,G35&lt;=0,G26&lt;=0),IF(OR(G34&lt;=0,G31&lt;=0),IF(OR(G30&lt;=0,G27&lt;=0),0,G27/G30*G26),(G31/G34+G27/G30)/2*G26),(G35/G38+G31/G34+G27/G30)/3*G26)</f>
        <v>3888.598960546955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60275</v>
      </c>
      <c r="F28" s="65">
        <v>4644</v>
      </c>
      <c r="G28" s="65">
        <v>2649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85018.65404253459</v>
      </c>
      <c r="L28" s="41">
        <f>IF(OR(F37&lt;=0,F35&lt;=0,F25&lt;=0),IF(OR(F33&lt;=0,F31&lt;=0),IF(OR(F29&lt;=0,F27&lt;=0),0,F27/F29*F25),(F31/F33+F27/F29)/2*F25),(F35/F37+F31/F33+F27/F29)/3*F25)</f>
        <v>6425.8954551853485</v>
      </c>
      <c r="M28" s="41">
        <f>IF(OR(G37&lt;=0,G35&lt;=0,G25&lt;=0),IF(OR(G33&lt;=0,G31&lt;=0),IF(OR(G29&lt;=0,G27&lt;=0),0,G27/G29*G25),(G31/G33+G27/G29)/2*G25),(G35/G37+G31/G33+G27/G29)/3*G25)</f>
        <v>3625.6983760804505</v>
      </c>
    </row>
    <row r="29" spans="1:13" ht="13.5" customHeight="1">
      <c r="A29" s="8"/>
      <c r="B29" s="102"/>
      <c r="C29" s="25" t="s">
        <v>18</v>
      </c>
      <c r="D29" s="81" t="s">
        <v>132</v>
      </c>
      <c r="E29" s="65">
        <v>40076</v>
      </c>
      <c r="F29" s="65">
        <v>3125</v>
      </c>
      <c r="G29" s="65">
        <v>1768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133</v>
      </c>
      <c r="E30" s="65">
        <v>20172</v>
      </c>
      <c r="F30" s="65">
        <v>1547</v>
      </c>
      <c r="G30" s="65">
        <v>858</v>
      </c>
      <c r="H30" s="15"/>
      <c r="I30" s="105" t="s">
        <v>103</v>
      </c>
      <c r="J30" s="105"/>
      <c r="K30" s="41">
        <f>IF(E18=0,E19,E18)</f>
        <v>82000</v>
      </c>
      <c r="L30" s="41">
        <f>IF(F18=0,F19,F18)</f>
        <v>6000</v>
      </c>
      <c r="M30" s="41">
        <f>IF(G18=0,G19,G18)</f>
        <v>3380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69417</v>
      </c>
      <c r="F31" s="65">
        <v>5579</v>
      </c>
      <c r="G31" s="65">
        <v>3053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49576</v>
      </c>
      <c r="F32" s="65">
        <v>4058</v>
      </c>
      <c r="G32" s="65">
        <v>2231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136</v>
      </c>
      <c r="E33" s="65">
        <v>31696</v>
      </c>
      <c r="F33" s="65">
        <v>2344</v>
      </c>
      <c r="G33" s="65">
        <v>1215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137</v>
      </c>
      <c r="E34" s="65">
        <v>14653</v>
      </c>
      <c r="F34" s="65">
        <v>1063</v>
      </c>
      <c r="G34" s="65">
        <v>584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51266</v>
      </c>
      <c r="F35" s="65">
        <v>3491</v>
      </c>
      <c r="G35" s="65">
        <v>2007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37166</v>
      </c>
      <c r="F36" s="65">
        <v>2498</v>
      </c>
      <c r="G36" s="65">
        <v>1426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138</v>
      </c>
      <c r="E37" s="65">
        <v>24877</v>
      </c>
      <c r="F37" s="65">
        <v>1616</v>
      </c>
      <c r="G37" s="65">
        <v>933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139</v>
      </c>
      <c r="E38" s="65">
        <v>12353</v>
      </c>
      <c r="F38" s="65">
        <v>875</v>
      </c>
      <c r="G38" s="65">
        <v>490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145.5527436359286</v>
      </c>
      <c r="C41" s="39">
        <f>IF(B43&lt;=0,-100,IF((30-B43)*5&lt;-100,-100,(30-B43)*5))</f>
        <v>118.07141192490177</v>
      </c>
      <c r="D41" s="39">
        <f>IF(D42+D43+D44&lt;-20,-20,IF((D42+D43+D44)&gt;20,20,D42+D43+D44))</f>
        <v>4.273710041460331</v>
      </c>
      <c r="E41" s="39">
        <f>IF(E42+E43+E44&lt;-100,-100,IF(E42+E43+E44&gt;50,50,E42+E43+E44))</f>
        <v>-3.8236982761139546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-11.133324748352756</v>
      </c>
      <c r="I41" s="39">
        <f>IF(L27=0,0,IF((L27-L30)/L30*100&lt;-30,-30,IF((L27-L30)/L30*100&gt;30,30,(L27-L30)/L30*100)))</f>
        <v>19.421531333610226</v>
      </c>
      <c r="J41" s="39">
        <f>IF(J42+J43+J44&gt;20,20,IF(J42+J43+J44&lt;-50,-50,J42+J43+J44))</f>
        <v>0</v>
      </c>
      <c r="K41" s="39">
        <f>POWER(LOG(J3*G3/1000),4)</f>
        <v>3.158213046814142</v>
      </c>
      <c r="L41" s="39">
        <f>IF(N20/E27*100&gt;30,30,N20/E27*100)</f>
        <v>0</v>
      </c>
      <c r="M41" s="39">
        <f>IF((L20-M20)*50/E27&lt;-50,-50,IF((L20-M20)*50/E27&gt;30,30,(L20-M20)*50/E27))</f>
        <v>9.528930164355105</v>
      </c>
      <c r="N41" s="39">
        <f>(K20-50)/2</f>
        <v>-2.75</v>
      </c>
      <c r="O41" s="39">
        <f>IF(O20=0,-30,((O20/G3)*100-1)*30)</f>
        <v>8.805970149253728</v>
      </c>
      <c r="P41" s="76">
        <f>G3*G4/1000</f>
        <v>201</v>
      </c>
    </row>
    <row r="42" spans="2:14" ht="13.5" customHeight="1">
      <c r="B42" s="29" t="s">
        <v>326</v>
      </c>
      <c r="C42" s="12"/>
      <c r="D42" s="39">
        <f>IF(OR(E26=0,E30=0),0,(E26-E30)/E30*100)</f>
        <v>0.768391830259766</v>
      </c>
      <c r="E42" s="39">
        <f>IF(E18=0,(E19-E27)/E27*50,(E18-E27)/E27*50)</f>
        <v>0.10081261074112544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-1.7964071856287425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6.385717615019648</v>
      </c>
      <c r="C43" s="12"/>
      <c r="D43" s="39">
        <f>IF(OR(F26=0,F30=0),0,IF(F30&lt;0,(F26-F30)/(-F30)*50,(F26-F30)/(F30)*50))</f>
        <v>2.4563671622495153</v>
      </c>
      <c r="E43" s="39">
        <f>IF(F18=0,(F19-F27)/F27*50,(F18-F27)/F27*50)</f>
        <v>-1.5972894482090998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-3.225806451612903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1.048951048951049</v>
      </c>
      <c r="E44" s="39">
        <f>IF(G18=0,(G19-G27)/G27*50,(G18-G27)/G27*50)</f>
        <v>-2.32722143864598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-6.111111111111111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B35:B38"/>
    <mergeCell ref="J33:P33"/>
    <mergeCell ref="J34:K34"/>
    <mergeCell ref="L34:M34"/>
    <mergeCell ref="N34:O34"/>
    <mergeCell ref="P34:P35"/>
    <mergeCell ref="B31:B34"/>
    <mergeCell ref="K25:M25"/>
    <mergeCell ref="I27:J27"/>
    <mergeCell ref="B17:B26"/>
    <mergeCell ref="C17:C20"/>
    <mergeCell ref="C22:C25"/>
    <mergeCell ref="B27:B30"/>
    <mergeCell ref="I28:J28"/>
    <mergeCell ref="I29:J29"/>
    <mergeCell ref="I30:J30"/>
    <mergeCell ref="B2:C2"/>
    <mergeCell ref="D2:L2"/>
    <mergeCell ref="E5:G5"/>
    <mergeCell ref="B7:B16"/>
    <mergeCell ref="C7:C10"/>
    <mergeCell ref="C12:C15"/>
    <mergeCell ref="J5:P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2301</v>
      </c>
      <c r="C2" s="99"/>
      <c r="D2" s="99" t="s">
        <v>86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375</v>
      </c>
      <c r="H3" s="15" t="s">
        <v>332</v>
      </c>
      <c r="I3" s="21" t="s">
        <v>8</v>
      </c>
      <c r="J3" s="58">
        <f>32400/2262</f>
        <v>14.323607427055704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100</v>
      </c>
      <c r="H4" s="3"/>
      <c r="I4" s="6" t="s">
        <v>321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4300</v>
      </c>
      <c r="F19" s="87">
        <v>920</v>
      </c>
      <c r="G19" s="86">
        <v>515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15.56</v>
      </c>
      <c r="K20" s="59">
        <v>86.3</v>
      </c>
      <c r="L20" s="41">
        <v>3329</v>
      </c>
      <c r="M20" s="41">
        <v>0</v>
      </c>
      <c r="N20" s="41">
        <v>59</v>
      </c>
      <c r="O20" s="60">
        <v>10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7.78</v>
      </c>
      <c r="K21" s="59">
        <v>74.6</v>
      </c>
      <c r="L21" s="41">
        <v>2121</v>
      </c>
      <c r="M21" s="41">
        <v>0</v>
      </c>
      <c r="N21" s="41">
        <v>59</v>
      </c>
      <c r="O21" s="60">
        <v>10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3.89</v>
      </c>
      <c r="K22" s="64">
        <v>85.2</v>
      </c>
      <c r="L22" s="41">
        <v>2253</v>
      </c>
      <c r="M22" s="41">
        <v>0</v>
      </c>
      <c r="N22" s="41">
        <v>55</v>
      </c>
      <c r="O22" s="64">
        <v>10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2300</v>
      </c>
      <c r="F24" s="87">
        <v>501</v>
      </c>
      <c r="G24" s="86">
        <v>280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2361</v>
      </c>
      <c r="F25" s="83">
        <v>554</v>
      </c>
      <c r="G25" s="66">
        <v>324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1021</v>
      </c>
      <c r="F26" s="83">
        <v>148</v>
      </c>
      <c r="G26" s="66">
        <v>129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4462</v>
      </c>
      <c r="F27" s="65">
        <v>1112</v>
      </c>
      <c r="G27" s="65">
        <v>638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3912.953528147419</v>
      </c>
      <c r="L27" s="41">
        <f>IF(OR(F38&lt;=0,F35&lt;=0,F26&lt;=0),IF(OR(F34&lt;=0,F31&lt;=0),IF(OR(F30&lt;=0,F27&lt;=0),0,F27/F30*F26),(F31/F34+F27/F30)/2*F26),(F35/F38+F31/F34+F27/F30)/3*F26)</f>
        <v>497.2124295283863</v>
      </c>
      <c r="M27" s="41">
        <f>IF(OR(G38&lt;=0,G35&lt;=0,G26&lt;=0),IF(OR(G34&lt;=0,G31&lt;=0),IF(OR(G30&lt;=0,G27&lt;=0),0,G27/G30*G26),(G31/G34+G27/G30)/2*G26),(G35/G38+G31/G34+G27/G30)/3*G26)</f>
        <v>450.04855057042664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3503</v>
      </c>
      <c r="F28" s="65">
        <v>963</v>
      </c>
      <c r="G28" s="65">
        <v>559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4135.453414590433</v>
      </c>
      <c r="L28" s="41">
        <f>IF(OR(F37&lt;=0,F35&lt;=0,F25&lt;=0),IF(OR(F33&lt;=0,F31&lt;=0),IF(OR(F29&lt;=0,F27&lt;=0),0,F27/F29*F25),(F31/F33+F27/F29)/2*F25),(F35/F37+F31/F33+F27/F29)/3*F25)</f>
        <v>799.2165750083326</v>
      </c>
      <c r="M28" s="41">
        <f>IF(OR(G37&lt;=0,G35&lt;=0,G25&lt;=0),IF(OR(G33&lt;=0,G31&lt;=0),IF(OR(G29&lt;=0,G27&lt;=0),0,G27/G29*G25),(G31/G33+G27/G29)/2*G25),(G35/G37+G31/G33+G27/G29)/3*G25)</f>
        <v>473.32938221920034</v>
      </c>
    </row>
    <row r="29" spans="1:13" ht="13.5" customHeight="1">
      <c r="A29" s="8"/>
      <c r="B29" s="102"/>
      <c r="C29" s="25" t="s">
        <v>18</v>
      </c>
      <c r="D29" s="81" t="s">
        <v>298</v>
      </c>
      <c r="E29" s="65">
        <v>2489</v>
      </c>
      <c r="F29" s="65">
        <v>772</v>
      </c>
      <c r="G29" s="65">
        <v>446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299</v>
      </c>
      <c r="E30" s="65">
        <v>1174</v>
      </c>
      <c r="F30" s="65">
        <v>327</v>
      </c>
      <c r="G30" s="65">
        <v>185</v>
      </c>
      <c r="H30" s="15"/>
      <c r="I30" s="105" t="s">
        <v>103</v>
      </c>
      <c r="J30" s="105"/>
      <c r="K30" s="41">
        <f>IF(E18=0,E19,E18)</f>
        <v>4300</v>
      </c>
      <c r="L30" s="41">
        <f>IF(F18=0,F19,F18)</f>
        <v>920</v>
      </c>
      <c r="M30" s="41">
        <f>IF(G18=0,G19,G18)</f>
        <v>515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4467</v>
      </c>
      <c r="F31" s="65">
        <v>1276</v>
      </c>
      <c r="G31" s="65">
        <v>752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3700</v>
      </c>
      <c r="F32" s="65">
        <v>1195</v>
      </c>
      <c r="G32" s="65">
        <v>709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300</v>
      </c>
      <c r="E33" s="65">
        <v>2582</v>
      </c>
      <c r="F33" s="65">
        <v>831</v>
      </c>
      <c r="G33" s="65">
        <v>504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301</v>
      </c>
      <c r="E34" s="65">
        <v>1203</v>
      </c>
      <c r="F34" s="65">
        <v>384</v>
      </c>
      <c r="G34" s="65">
        <v>230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3625</v>
      </c>
      <c r="F35" s="65">
        <v>822</v>
      </c>
      <c r="G35" s="65">
        <v>476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3046</v>
      </c>
      <c r="F36" s="65">
        <v>910</v>
      </c>
      <c r="G36" s="65">
        <v>473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302</v>
      </c>
      <c r="E37" s="65">
        <v>2093</v>
      </c>
      <c r="F37" s="65">
        <v>608</v>
      </c>
      <c r="G37" s="65">
        <v>326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303</v>
      </c>
      <c r="E38" s="65">
        <v>910</v>
      </c>
      <c r="F38" s="65">
        <v>245</v>
      </c>
      <c r="G38" s="65">
        <v>127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123.01798280250262</v>
      </c>
      <c r="C41" s="39">
        <f>IF(B43&lt;=0,-100,IF((30-B43)*5&lt;-100,-100,(30-B43)*5))</f>
        <v>93.3495145631068</v>
      </c>
      <c r="D41" s="39">
        <f>IF(D42+D43+D44&lt;-20,-20,IF((D42+D43+D44)&gt;20,20,D42+D43+D44))</f>
        <v>-20</v>
      </c>
      <c r="E41" s="39">
        <f>IF(E42+E43+E44&lt;-100,-100,IF(E42+E43+E44&gt;50,50,E42+E43+E44))</f>
        <v>-20.087921406459458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-30</v>
      </c>
      <c r="J41" s="39">
        <f>IF(J42+J43+J44&gt;20,20,IF(J42+J43+J44&lt;-50,-50,J42+J43+J44))</f>
        <v>0</v>
      </c>
      <c r="K41" s="39">
        <f>POWER(LOG(J3*G3/1000),4)</f>
        <v>0.28411264002829506</v>
      </c>
      <c r="L41" s="39">
        <f>IF(N20/E27*100&gt;30,30,N20/E27*100)</f>
        <v>1.3222770058269833</v>
      </c>
      <c r="M41" s="39">
        <f>IF((L20-M20)*50/E27&lt;-50,-50,IF((L20-M20)*50/E27&gt;30,30,(L20-M20)*50/E27))</f>
        <v>30</v>
      </c>
      <c r="N41" s="39">
        <f>(K20-50)/2</f>
        <v>18.15</v>
      </c>
      <c r="O41" s="39">
        <f>IF(O20=0,-30,((O20/G3)*100-1)*30)</f>
        <v>50.00000000000001</v>
      </c>
      <c r="P41" s="76">
        <f>G3*G4/1000</f>
        <v>37.5</v>
      </c>
    </row>
    <row r="42" spans="2:14" ht="13.5" customHeight="1">
      <c r="B42" s="29" t="s">
        <v>326</v>
      </c>
      <c r="C42" s="12"/>
      <c r="D42" s="39">
        <f>IF(OR(E26=0,E30=0),0,(E26-E30)/E30*100)</f>
        <v>-13.032367972742758</v>
      </c>
      <c r="E42" s="39">
        <f>IF(E18=0,(E19-E27)/E27*50,(E18-E27)/E27*50)</f>
        <v>-1.815329448677723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11.330097087378642</v>
      </c>
      <c r="C43" s="12"/>
      <c r="D43" s="39">
        <f>IF(OR(F26=0,F30=0),0,IF(F30&lt;0,(F26-F30)/(-F30)*50,(F26-F30)/(F30)*50))</f>
        <v>-27.370030581039757</v>
      </c>
      <c r="E43" s="39">
        <f>IF(F18=0,(F19-F27)/F27*50,(F18-F27)/F27*50)</f>
        <v>-8.633093525179856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-30.270270270270274</v>
      </c>
      <c r="E44" s="39">
        <f>IF(G18=0,(G19-G27)/G27*50,(G18-G27)/G27*50)</f>
        <v>-9.639498432601881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2317</v>
      </c>
      <c r="C2" s="99"/>
      <c r="D2" s="99" t="s">
        <v>55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65000</v>
      </c>
      <c r="H3" s="15" t="s">
        <v>332</v>
      </c>
      <c r="I3" s="21" t="s">
        <v>8</v>
      </c>
      <c r="J3" s="58">
        <f>54600/240862</f>
        <v>0.22668582009615465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321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9633</v>
      </c>
      <c r="F18" s="87">
        <v>2004</v>
      </c>
      <c r="G18" s="86">
        <v>1173</v>
      </c>
      <c r="H18" s="15" t="s">
        <v>337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11080</v>
      </c>
      <c r="F19" s="87">
        <v>2101</v>
      </c>
      <c r="G19" s="86">
        <v>1204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f>224/978.07</f>
        <v>0.229022462604926</v>
      </c>
      <c r="K20" s="59">
        <v>60.3</v>
      </c>
      <c r="L20" s="41">
        <v>1878</v>
      </c>
      <c r="M20" s="41">
        <v>2000</v>
      </c>
      <c r="N20" s="41">
        <v>118</v>
      </c>
      <c r="O20" s="60">
        <v>1000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0.231</v>
      </c>
      <c r="K21" s="59">
        <v>80.6</v>
      </c>
      <c r="L21" s="41">
        <v>1310</v>
      </c>
      <c r="M21" s="41">
        <v>7</v>
      </c>
      <c r="N21" s="41">
        <v>118</v>
      </c>
      <c r="O21" s="60">
        <v>1000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0.231</v>
      </c>
      <c r="K22" s="64">
        <v>80.6</v>
      </c>
      <c r="L22" s="41">
        <v>1310</v>
      </c>
      <c r="M22" s="41">
        <v>7</v>
      </c>
      <c r="N22" s="41">
        <v>64</v>
      </c>
      <c r="O22" s="64">
        <v>800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4776</v>
      </c>
      <c r="F24" s="87">
        <v>785</v>
      </c>
      <c r="G24" s="86">
        <v>445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4462</v>
      </c>
      <c r="F25" s="83">
        <v>967</v>
      </c>
      <c r="G25" s="66">
        <v>546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1908</v>
      </c>
      <c r="F26" s="83">
        <v>360</v>
      </c>
      <c r="G26" s="66">
        <v>224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7930</v>
      </c>
      <c r="F27" s="65">
        <v>1555</v>
      </c>
      <c r="G27" s="65">
        <v>849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9468.10069595564</v>
      </c>
      <c r="L27" s="41">
        <f>IF(OR(F38&lt;=0,F35&lt;=0,F26&lt;=0),IF(OR(F34&lt;=0,F31&lt;=0),IF(OR(F30&lt;=0,F27&lt;=0),0,F27/F30*F26),(F31/F34+F27/F30)/2*F26),(F35/F38+F31/F34+F27/F30)/3*F26)</f>
        <v>2192.430561762048</v>
      </c>
      <c r="M27" s="41">
        <f>IF(OR(G38&lt;=0,G35&lt;=0,G26&lt;=0),IF(OR(G34&lt;=0,G31&lt;=0),IF(OR(G30&lt;=0,G27&lt;=0),0,G27/G30*G26),(G31/G34+G27/G30)/2*G26),(G35/G38+G31/G34+G27/G30)/3*G26)</f>
        <v>1541.7074769790706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5438</v>
      </c>
      <c r="F28" s="65">
        <v>1007</v>
      </c>
      <c r="G28" s="65">
        <v>540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9821.139389985072</v>
      </c>
      <c r="L28" s="41">
        <f>IF(OR(F37&lt;=0,F35&lt;=0,F25&lt;=0),IF(OR(F33&lt;=0,F31&lt;=0),IF(OR(F29&lt;=0,F27&lt;=0),0,F27/F29*F25),(F31/F33+F27/F29)/2*F25),(F35/F37+F31/F33+F27/F29)/3*F25)</f>
        <v>2158.0685487191504</v>
      </c>
      <c r="M28" s="41">
        <f>IF(OR(G37&lt;=0,G35&lt;=0,G25&lt;=0),IF(OR(G33&lt;=0,G31&lt;=0),IF(OR(G29&lt;=0,G27&lt;=0),0,G27/G29*G25),(G31/G33+G27/G29)/2*G25),(G35/G37+G31/G33+G27/G29)/3*G25)</f>
        <v>1314.3352050256015</v>
      </c>
    </row>
    <row r="29" spans="1:13" ht="13.5" customHeight="1">
      <c r="A29" s="8"/>
      <c r="B29" s="102"/>
      <c r="C29" s="25" t="s">
        <v>18</v>
      </c>
      <c r="D29" s="81" t="s">
        <v>292</v>
      </c>
      <c r="E29" s="65">
        <v>3665</v>
      </c>
      <c r="F29" s="65">
        <v>691</v>
      </c>
      <c r="G29" s="65">
        <v>364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293</v>
      </c>
      <c r="E30" s="65">
        <v>1675</v>
      </c>
      <c r="F30" s="65">
        <v>334</v>
      </c>
      <c r="G30" s="65">
        <v>167</v>
      </c>
      <c r="H30" s="15"/>
      <c r="I30" s="105" t="s">
        <v>103</v>
      </c>
      <c r="J30" s="105"/>
      <c r="K30" s="41">
        <f>IF(E18=0,E19,E18)</f>
        <v>9633</v>
      </c>
      <c r="L30" s="41">
        <f>IF(F18=0,F19,F18)</f>
        <v>2004</v>
      </c>
      <c r="M30" s="41">
        <f>IF(G18=0,G19,G18)</f>
        <v>1173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5917</v>
      </c>
      <c r="F31" s="65">
        <v>967</v>
      </c>
      <c r="G31" s="65">
        <v>602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4076</v>
      </c>
      <c r="F32" s="65">
        <v>640</v>
      </c>
      <c r="G32" s="65">
        <v>383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294</v>
      </c>
      <c r="E33" s="65">
        <v>2618</v>
      </c>
      <c r="F33" s="65">
        <v>407</v>
      </c>
      <c r="G33" s="65">
        <v>254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295</v>
      </c>
      <c r="E34" s="65">
        <v>1111</v>
      </c>
      <c r="F34" s="65">
        <v>134</v>
      </c>
      <c r="G34" s="65">
        <v>73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4180</v>
      </c>
      <c r="F35" s="65">
        <v>691</v>
      </c>
      <c r="G35" s="65">
        <v>461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2766</v>
      </c>
      <c r="F36" s="65">
        <v>418</v>
      </c>
      <c r="G36" s="65">
        <v>235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296</v>
      </c>
      <c r="E37" s="65">
        <v>1918</v>
      </c>
      <c r="F37" s="65">
        <v>334</v>
      </c>
      <c r="G37" s="65">
        <v>183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297</v>
      </c>
      <c r="E38" s="65">
        <v>866</v>
      </c>
      <c r="F38" s="65">
        <v>108</v>
      </c>
      <c r="G38" s="65">
        <v>63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163.83908151342456</v>
      </c>
      <c r="C41" s="39">
        <f>IF(B43&lt;=0,-100,IF((30-B43)*5&lt;-100,-100,(30-B43)*5))</f>
        <v>86.5453534982089</v>
      </c>
      <c r="D41" s="39">
        <f>IF(D42+D43+D44&lt;-20,-20,IF((D42+D43+D44)&gt;20,20,D42+D43+D44))</f>
        <v>20</v>
      </c>
      <c r="E41" s="39">
        <f>IF(E42+E43+E44&lt;-100,-100,IF(E42+E43+E44&gt;50,50,E42+E43+E44))</f>
        <v>44.25627603820821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-20.251166737035316</v>
      </c>
      <c r="I41" s="39">
        <f>IF(L27=0,0,IF((L27-L30)/L30*100&lt;-30,-30,IF((L27-L30)/L30*100&gt;30,30,(L27-L30)/L30*100)))</f>
        <v>9.402722642816766</v>
      </c>
      <c r="J41" s="39">
        <f>IF(J42+J43+J44&gt;20,20,IF(J42+J43+J44&lt;-50,-50,J42+J43+J44))</f>
        <v>0</v>
      </c>
      <c r="K41" s="39">
        <f>POWER(LOG(J3*G3/1000),4)</f>
        <v>1.863260510065809</v>
      </c>
      <c r="L41" s="39">
        <f>IF(N20/E27*100&gt;30,30,N20/E27*100)</f>
        <v>1.4880201765447667</v>
      </c>
      <c r="M41" s="39">
        <f>IF((L20-M20)*50/E27&lt;-50,-50,IF((L20-M20)*50/E27&gt;30,30,(L20-M20)*50/E27))</f>
        <v>-0.7692307692307693</v>
      </c>
      <c r="N41" s="39">
        <f>(K20-50)/2</f>
        <v>5.149999999999999</v>
      </c>
      <c r="O41" s="39">
        <f>IF(O20=0,-30,((O20/G3)*100-1)*30)</f>
        <v>16.153846153846157</v>
      </c>
      <c r="P41" s="76">
        <f>G3*G4/1000</f>
        <v>65</v>
      </c>
    </row>
    <row r="42" spans="2:14" ht="13.5" customHeight="1">
      <c r="B42" s="29" t="s">
        <v>326</v>
      </c>
      <c r="C42" s="12"/>
      <c r="D42" s="39">
        <f>IF(OR(E26=0,E30=0),0,(E26-E30)/E30*100)</f>
        <v>13.91044776119403</v>
      </c>
      <c r="E42" s="39">
        <f>IF(E18=0,(E19-E27)/E27*50,(E18-E27)/E27*50)</f>
        <v>10.737704918032787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-13.05956678700361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12.690929300358219</v>
      </c>
      <c r="C43" s="12"/>
      <c r="D43" s="39">
        <f>IF(OR(F26=0,F30=0),0,IF(F30&lt;0,(F26-F30)/(-F30)*50,(F26-F30)/(F30)*50))</f>
        <v>3.8922155688622757</v>
      </c>
      <c r="E43" s="39">
        <f>IF(F18=0,(F19-F27)/F27*50,(F18-F27)/F27*50)</f>
        <v>14.437299035369774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-4.61684911946692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34.13173652694611</v>
      </c>
      <c r="E44" s="39">
        <f>IF(G18=0,(G19-G27)/G27*50,(G18-G27)/G27*50)</f>
        <v>19.081272084805654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-2.574750830564784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2373</v>
      </c>
      <c r="C2" s="99"/>
      <c r="D2" s="100" t="s">
        <v>56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39100</v>
      </c>
      <c r="H3" s="15" t="s">
        <v>332</v>
      </c>
      <c r="I3" s="21" t="s">
        <v>8</v>
      </c>
      <c r="J3" s="58">
        <f>19800/802815</f>
        <v>0.024663216307617572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17"/>
      <c r="E4" s="17"/>
      <c r="F4" s="35"/>
      <c r="G4" s="68"/>
      <c r="H4" s="18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6200</v>
      </c>
      <c r="F19" s="87">
        <v>130</v>
      </c>
      <c r="G19" s="86">
        <v>220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0.024</v>
      </c>
      <c r="K20" s="59">
        <v>39.8</v>
      </c>
      <c r="L20" s="41">
        <v>-181</v>
      </c>
      <c r="M20" s="41">
        <v>729</v>
      </c>
      <c r="N20" s="41">
        <v>239</v>
      </c>
      <c r="O20" s="60">
        <v>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0.02174</v>
      </c>
      <c r="K21" s="59">
        <v>27.6</v>
      </c>
      <c r="L21" s="41">
        <v>-287</v>
      </c>
      <c r="M21" s="41">
        <v>1098</v>
      </c>
      <c r="N21" s="41">
        <v>239</v>
      </c>
      <c r="O21" s="60">
        <v>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0.02174</v>
      </c>
      <c r="K22" s="64">
        <v>38.9</v>
      </c>
      <c r="L22" s="41">
        <v>-138</v>
      </c>
      <c r="M22" s="41">
        <v>801</v>
      </c>
      <c r="N22" s="41">
        <v>226</v>
      </c>
      <c r="O22" s="64">
        <v>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2900</v>
      </c>
      <c r="F24" s="87">
        <v>23</v>
      </c>
      <c r="G24" s="86">
        <v>170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2829</v>
      </c>
      <c r="F25" s="83">
        <v>48</v>
      </c>
      <c r="G25" s="66">
        <v>198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1411</v>
      </c>
      <c r="F26" s="83">
        <v>22</v>
      </c>
      <c r="G26" s="66">
        <v>1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5465</v>
      </c>
      <c r="F27" s="65">
        <v>65</v>
      </c>
      <c r="G27" s="65">
        <v>52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5763.11926477806</v>
      </c>
      <c r="L27" s="41">
        <f>IF(OR(F38&lt;=0,F35&lt;=0,F26&lt;=0),IF(OR(F34&lt;=0,F31&lt;=0),IF(OR(F30&lt;=0,F27&lt;=0),0,F27/F30*F26),(F31/F34+F27/F30)/2*F26),(F35/F38+F31/F34+F27/F30)/3*F26)</f>
        <v>0</v>
      </c>
      <c r="M27" s="41">
        <f>IF(OR(G38&lt;=0,G35&lt;=0,G26&lt;=0),IF(OR(G34&lt;=0,G31&lt;=0),IF(OR(G30&lt;=0,G27&lt;=0),0,G27/G30*G26),(G31/G34+G27/G30)/2*G26),(G35/G38+G31/G34+G27/G30)/3*G26)</f>
        <v>52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4049</v>
      </c>
      <c r="F28" s="65">
        <v>27</v>
      </c>
      <c r="G28" s="65">
        <v>14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5762.98276163158</v>
      </c>
      <c r="L28" s="41">
        <f>IF(OR(F37&lt;=0,F35&lt;=0,F25&lt;=0),IF(OR(F33&lt;=0,F31&lt;=0),IF(OR(F29&lt;=0,F27&lt;=0),0,F27/F29*F25),(F31/F33+F27/F29)/2*F25),(F35/F37+F31/F33+F27/F29)/3*F25)</f>
        <v>3120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286</v>
      </c>
      <c r="E29" s="65">
        <v>2655</v>
      </c>
      <c r="F29" s="65">
        <v>1</v>
      </c>
      <c r="G29" s="65">
        <v>-2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287</v>
      </c>
      <c r="E30" s="65">
        <v>1327</v>
      </c>
      <c r="F30" s="65">
        <v>-3</v>
      </c>
      <c r="G30" s="65">
        <v>1</v>
      </c>
      <c r="H30" s="15"/>
      <c r="I30" s="105" t="s">
        <v>103</v>
      </c>
      <c r="J30" s="105"/>
      <c r="K30" s="41">
        <f>IF(E18=0,E19,E18)</f>
        <v>6200</v>
      </c>
      <c r="L30" s="41">
        <f>IF(F18=0,F19,F18)</f>
        <v>130</v>
      </c>
      <c r="M30" s="41">
        <f>IF(G18=0,G19,G18)</f>
        <v>220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5291</v>
      </c>
      <c r="F31" s="65">
        <v>-97</v>
      </c>
      <c r="G31" s="65">
        <v>-37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3948</v>
      </c>
      <c r="F32" s="65">
        <v>-68</v>
      </c>
      <c r="G32" s="65">
        <v>-95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288</v>
      </c>
      <c r="E33" s="65">
        <v>2588</v>
      </c>
      <c r="F33" s="65">
        <v>-71</v>
      </c>
      <c r="G33" s="65">
        <v>-94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289</v>
      </c>
      <c r="E34" s="65">
        <v>1303</v>
      </c>
      <c r="F34" s="65">
        <v>0</v>
      </c>
      <c r="G34" s="65">
        <v>-6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5427</v>
      </c>
      <c r="F35" s="65">
        <v>89</v>
      </c>
      <c r="G35" s="65">
        <v>65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4081</v>
      </c>
      <c r="F36" s="65">
        <v>-14</v>
      </c>
      <c r="G36" s="65">
        <v>-30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290</v>
      </c>
      <c r="E37" s="65">
        <v>2702</v>
      </c>
      <c r="F37" s="65">
        <v>-71</v>
      </c>
      <c r="G37" s="65">
        <v>-83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291</v>
      </c>
      <c r="E38" s="65">
        <v>1332</v>
      </c>
      <c r="F38" s="65">
        <v>-42</v>
      </c>
      <c r="G38" s="65">
        <v>-45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159.6203028149602</v>
      </c>
      <c r="C41" s="39">
        <f>IF(B43&lt;=0,-100,IF((30-B43)*5&lt;-100,-100,(30-B43)*5))</f>
        <v>128.6727272727273</v>
      </c>
      <c r="D41" s="39">
        <f>IF(D42+D43+D44&lt;-20,-20,IF((D42+D43+D44)&gt;20,20,D42+D43+D44))</f>
        <v>20</v>
      </c>
      <c r="E41" s="39">
        <f>IF(E42+E43+E44&lt;-100,-100,IF(E42+E43+E44&gt;50,50,E42+E43+E44))</f>
        <v>50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0</v>
      </c>
      <c r="J41" s="39">
        <f>IF(J42+J43+J44&gt;20,20,IF(J42+J43+J44&lt;-50,-50,J42+J43+J44))</f>
        <v>0</v>
      </c>
      <c r="K41" s="39">
        <f>POWER(LOG(J3*G3/1000),4)</f>
        <v>6.190356518128637E-08</v>
      </c>
      <c r="L41" s="39">
        <f>IF(N20/E27*100&gt;30,30,N20/E27*100)</f>
        <v>4.373284537968893</v>
      </c>
      <c r="M41" s="39">
        <f>IF((L20-M20)*50/E27&lt;-50,-50,IF((L20-M20)*50/E27&gt;30,30,(L20-M20)*50/E27))</f>
        <v>-8.325709057639525</v>
      </c>
      <c r="N41" s="39">
        <f>(K20-50)/2</f>
        <v>-5.100000000000001</v>
      </c>
      <c r="O41" s="39">
        <f>IF(O20=0,-30,((O20/G3)*100-1)*30)</f>
        <v>-30</v>
      </c>
      <c r="P41" s="76">
        <f>G3*G4/1000</f>
        <v>0</v>
      </c>
    </row>
    <row r="42" spans="2:14" ht="13.5" customHeight="1">
      <c r="B42" s="29" t="s">
        <v>326</v>
      </c>
      <c r="C42" s="12"/>
      <c r="D42" s="39">
        <f>IF(OR(E26=0,E30=0),0,(E26-E30)/E30*100)</f>
        <v>6.330067822155237</v>
      </c>
      <c r="E42" s="39">
        <f>IF(E18=0,(E19-E27)/E27*50,(E18-E27)/E27*50)</f>
        <v>6.724611161939616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4.265454545454546</v>
      </c>
      <c r="C43" s="12"/>
      <c r="D43" s="39">
        <f>IF(OR(F26=0,F30=0),0,IF(F30&lt;0,(F26-F30)/(-F30)*50,(F26-F30)/(F30)*50))</f>
        <v>416.6666666666667</v>
      </c>
      <c r="E43" s="39">
        <f>IF(F18=0,(F19-F27)/F27*50,(F18-F27)/F27*50)</f>
        <v>50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0</v>
      </c>
      <c r="E44" s="39">
        <f>IF(G18=0,(G19-G27)/G27*50,(G18-G27)/G27*50)</f>
        <v>161.53846153846155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17:B26"/>
    <mergeCell ref="C7:C10"/>
    <mergeCell ref="C12:C15"/>
    <mergeCell ref="K25:M25"/>
    <mergeCell ref="J5:P5"/>
    <mergeCell ref="B2:C2"/>
    <mergeCell ref="D2:L2"/>
    <mergeCell ref="B35:B38"/>
    <mergeCell ref="B31:B34"/>
    <mergeCell ref="E5:G5"/>
    <mergeCell ref="B7:B16"/>
    <mergeCell ref="B27:B30"/>
    <mergeCell ref="C17:C20"/>
    <mergeCell ref="C22:C25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2375</v>
      </c>
      <c r="C2" s="99"/>
      <c r="D2" s="99" t="s">
        <v>91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109000</v>
      </c>
      <c r="H3" s="15" t="s">
        <v>332</v>
      </c>
      <c r="I3" s="21" t="s">
        <v>8</v>
      </c>
      <c r="J3" s="58">
        <f>22/1212.77</f>
        <v>0.018140290409558283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/>
      <c r="F18" s="87"/>
      <c r="G18" s="86"/>
      <c r="H18" s="15"/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9000</v>
      </c>
      <c r="F19" s="87">
        <v>220</v>
      </c>
      <c r="G19" s="86">
        <v>80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0.019</v>
      </c>
      <c r="K20" s="59">
        <v>42.4</v>
      </c>
      <c r="L20" s="41">
        <v>-35</v>
      </c>
      <c r="M20" s="41">
        <v>934</v>
      </c>
      <c r="N20" s="41"/>
      <c r="O20" s="60">
        <v>1000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0.018907</v>
      </c>
      <c r="K21" s="59">
        <v>44.3</v>
      </c>
      <c r="L21" s="41">
        <v>15</v>
      </c>
      <c r="M21" s="41">
        <v>683</v>
      </c>
      <c r="N21" s="41">
        <v>0</v>
      </c>
      <c r="O21" s="60">
        <v>1000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1.643285</v>
      </c>
      <c r="K22" s="64">
        <v>42.2</v>
      </c>
      <c r="L22" s="41">
        <v>-38</v>
      </c>
      <c r="M22" s="41">
        <v>809</v>
      </c>
      <c r="N22" s="41">
        <v>0</v>
      </c>
      <c r="O22" s="64">
        <v>10</v>
      </c>
      <c r="P22" s="41"/>
    </row>
    <row r="23" spans="1:8" ht="13.5" customHeight="1">
      <c r="A23" s="7"/>
      <c r="B23" s="105"/>
      <c r="C23" s="102"/>
      <c r="D23" s="85" t="s">
        <v>48</v>
      </c>
      <c r="E23" s="86">
        <v>4500</v>
      </c>
      <c r="F23" s="87">
        <v>90</v>
      </c>
      <c r="G23" s="86">
        <v>48</v>
      </c>
      <c r="H23" s="15" t="s">
        <v>324</v>
      </c>
    </row>
    <row r="24" spans="1:8" ht="13.5" customHeight="1">
      <c r="A24" s="7"/>
      <c r="B24" s="105"/>
      <c r="C24" s="102"/>
      <c r="D24" s="85" t="s">
        <v>17</v>
      </c>
      <c r="E24" s="86">
        <v>4050</v>
      </c>
      <c r="F24" s="87">
        <v>90</v>
      </c>
      <c r="G24" s="86">
        <v>32</v>
      </c>
      <c r="H24" s="15"/>
    </row>
    <row r="25" spans="1:13" ht="13.5" customHeight="1">
      <c r="A25" s="7"/>
      <c r="B25" s="105"/>
      <c r="C25" s="103"/>
      <c r="D25" s="81" t="s">
        <v>119</v>
      </c>
      <c r="E25" s="82"/>
      <c r="F25" s="83"/>
      <c r="G25" s="66"/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2303</v>
      </c>
      <c r="F26" s="83">
        <v>46</v>
      </c>
      <c r="G26" s="66">
        <v>22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8619</v>
      </c>
      <c r="F27" s="65">
        <v>218</v>
      </c>
      <c r="G27" s="65">
        <v>138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10373.263412634768</v>
      </c>
      <c r="L27" s="41">
        <f>IF(OR(F38&lt;=0,F35&lt;=0,F26&lt;=0),IF(OR(F34&lt;=0,F31&lt;=0),IF(OR(F30&lt;=0,F27&lt;=0),0,F27/F30*F26),(F31/F34+F27/F30)/2*F26),(F35/F38+F31/F34+F27/F30)/3*F26)</f>
        <v>184.07467532467535</v>
      </c>
      <c r="M27" s="41">
        <f>IF(OR(G38&lt;=0,G35&lt;=0,G26&lt;=0),IF(OR(G34&lt;=0,G31&lt;=0),IF(OR(G30&lt;=0,G27&lt;=0),0,G27/G30*G26),(G31/G34+G27/G30)/2*G26),(G35/G38+G31/G34+G27/G30)/3*G26)</f>
        <v>116.76923076923076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6330</v>
      </c>
      <c r="F28" s="65">
        <v>155</v>
      </c>
      <c r="G28" s="65">
        <v>159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0</v>
      </c>
      <c r="L28" s="41">
        <f>IF(OR(F37&lt;=0,F35&lt;=0,F25&lt;=0),IF(OR(F33&lt;=0,F31&lt;=0),IF(OR(F29&lt;=0,F27&lt;=0),0,F27/F29*F25),(F31/F33+F27/F29)/2*F25),(F35/F37+F31/F33+F27/F29)/3*F25)</f>
        <v>0</v>
      </c>
      <c r="M28" s="41">
        <f>IF(OR(G37&lt;=0,G35&lt;=0,G25&lt;=0),IF(OR(G33&lt;=0,G31&lt;=0),IF(OR(G29&lt;=0,G27&lt;=0),0,G27/G29*G25),(G31/G33+G27/G29)/2*G25),(G35/G37+G31/G33+G27/G29)/3*G25)</f>
        <v>0</v>
      </c>
    </row>
    <row r="29" spans="1:13" ht="13.5" customHeight="1">
      <c r="A29" s="8"/>
      <c r="B29" s="102"/>
      <c r="C29" s="25" t="s">
        <v>18</v>
      </c>
      <c r="D29" s="81" t="s">
        <v>280</v>
      </c>
      <c r="E29" s="65">
        <v>4193</v>
      </c>
      <c r="F29" s="65">
        <v>91</v>
      </c>
      <c r="G29" s="65">
        <v>116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281</v>
      </c>
      <c r="E30" s="65">
        <v>2021</v>
      </c>
      <c r="F30" s="65">
        <v>42</v>
      </c>
      <c r="G30" s="65">
        <v>26</v>
      </c>
      <c r="H30" s="15"/>
      <c r="I30" s="105" t="s">
        <v>103</v>
      </c>
      <c r="J30" s="105"/>
      <c r="K30" s="41">
        <f>IF(E18=0,E19,E18)</f>
        <v>9000</v>
      </c>
      <c r="L30" s="41">
        <f>IF(F18=0,F19,F18)</f>
        <v>220</v>
      </c>
      <c r="M30" s="41">
        <f>IF(G18=0,G19,G18)</f>
        <v>80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6272</v>
      </c>
      <c r="F31" s="65">
        <v>58</v>
      </c>
      <c r="G31" s="65">
        <v>19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4643</v>
      </c>
      <c r="F32" s="65">
        <v>40</v>
      </c>
      <c r="G32" s="65">
        <v>1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282</v>
      </c>
      <c r="E33" s="65">
        <v>2980</v>
      </c>
      <c r="F33" s="65">
        <v>16</v>
      </c>
      <c r="G33" s="65">
        <v>-4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283</v>
      </c>
      <c r="E34" s="65">
        <v>1450</v>
      </c>
      <c r="F34" s="65">
        <v>11</v>
      </c>
      <c r="G34" s="65">
        <v>-12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5080</v>
      </c>
      <c r="F35" s="65">
        <v>37</v>
      </c>
      <c r="G35" s="65">
        <v>-54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3587</v>
      </c>
      <c r="F36" s="65">
        <v>17</v>
      </c>
      <c r="G36" s="65">
        <v>-16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284</v>
      </c>
      <c r="E37" s="65">
        <v>2351</v>
      </c>
      <c r="F37" s="65">
        <v>27</v>
      </c>
      <c r="G37" s="65">
        <v>0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285</v>
      </c>
      <c r="E38" s="65">
        <v>1032</v>
      </c>
      <c r="F38" s="65">
        <v>24</v>
      </c>
      <c r="G38" s="65">
        <v>12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27.327358672007495</v>
      </c>
      <c r="C41" s="39">
        <f>IF(B43&lt;=0,-100,IF((30-B43)*5&lt;-100,-100,(30-B43)*5))</f>
        <v>20.562500000000004</v>
      </c>
      <c r="D41" s="39">
        <f>IF(D42+D43+D44&lt;-20,-20,IF((D42+D43+D44)&gt;20,20,D42+D43+D44))</f>
        <v>3.330777749382401</v>
      </c>
      <c r="E41" s="39">
        <f>IF(E42+E43+E44&lt;-100,-100,IF(E42+E43+E44&gt;50,50,E42+E43+E44))</f>
        <v>-18.345543951584595</v>
      </c>
      <c r="F41" s="39">
        <f>IF((F42+F43+F44)/2&lt;-20,-20,IF((F42+F43+F44)/2&gt;20,20,(F42+F43+F44)/2))</f>
        <v>0</v>
      </c>
      <c r="G41" s="39">
        <f>IF(G42+G43+G44&gt;50,50,IF(G42+G43+G44&lt;-100,-100,G42+G43+G44))</f>
        <v>50</v>
      </c>
      <c r="H41" s="39">
        <f>IF(G41&lt;&gt;0,0,IF(H42+H43+H44&gt;50,50,IF(H42+H43+H44&lt;-100,-100,H42+H43+H44)))</f>
        <v>0</v>
      </c>
      <c r="I41" s="39">
        <f>IF(L27=0,0,IF((L27-L30)/L30*100&lt;-30,-30,IF((L27-L30)/L30*100&gt;30,30,(L27-L30)/L30*100)))</f>
        <v>-16.329693034238478</v>
      </c>
      <c r="J41" s="39">
        <f>IF(J42+J43+J44&gt;20,20,IF(J42+J43+J44&lt;-50,-50,J42+J43+J44))</f>
        <v>0</v>
      </c>
      <c r="K41" s="39">
        <f>POWER(LOG(J3*G3/1000),4)</f>
        <v>0.007683903779580721</v>
      </c>
      <c r="L41" s="39">
        <f>IF(N20/E27*100&gt;30,30,N20/E27*100)</f>
        <v>0</v>
      </c>
      <c r="M41" s="39">
        <f>IF((L20-M20)*50/E27&lt;-50,-50,IF((L20-M20)*50/E27&gt;30,30,(L20-M20)*50/E27))</f>
        <v>-5.621301775147929</v>
      </c>
      <c r="N41" s="39">
        <f>(K20-50)/2</f>
        <v>-3.8000000000000007</v>
      </c>
      <c r="O41" s="39">
        <f>IF(O20=0,-30,((O20/G3)*100-1)*30)</f>
        <v>-2.4770642201834847</v>
      </c>
      <c r="P41" s="76">
        <f>G3*G4/1000</f>
        <v>109</v>
      </c>
    </row>
    <row r="42" spans="2:14" ht="13.5" customHeight="1">
      <c r="B42" s="29" t="s">
        <v>326</v>
      </c>
      <c r="C42" s="12"/>
      <c r="D42" s="39">
        <f>IF(OR(E26=0,E30=0),0,(E26-E30)/E30*100)</f>
        <v>13.953488372093023</v>
      </c>
      <c r="E42" s="39">
        <f>IF(E18=0,(E19-E27)/E27*50,(E18-E27)/E27*50)</f>
        <v>2.210233205708319</v>
      </c>
      <c r="F42" s="39">
        <f>IF(OR(E17=0,E19=0),0,(E17-E19)/E19*100)</f>
        <v>0</v>
      </c>
      <c r="G42" s="39">
        <f>IF(OR(E23=0,E24=0),0,(E23-E24)/E24*100)</f>
        <v>11.11111111111111</v>
      </c>
      <c r="H42" s="39">
        <f>IF(OR(E18=0,E19=0),0,(E18-E19)/E19*100)</f>
        <v>0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25.8875</v>
      </c>
      <c r="C43" s="12"/>
      <c r="D43" s="39">
        <f>IF(OR(F26=0,F30=0),0,IF(F30&lt;0,(F26-F30)/(-F30)*50,(F26-F30)/(F30)*50))</f>
        <v>4.761904761904762</v>
      </c>
      <c r="E43" s="39">
        <f>IF(F18=0,(F19-F27)/F27*50,(F18-F27)/F27*50)</f>
        <v>0.45871559633027525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0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-15.384615384615385</v>
      </c>
      <c r="E44" s="39">
        <f>IF(G18=0,(G19-G27)/G27*50,(G18-G27)/G27*50)</f>
        <v>-21.014492753623188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50</v>
      </c>
      <c r="H44" s="39">
        <f>IF(OR(G18=0,G19=0),0,IF(G19&lt;0,(G18-G19)/(-G19)*100,(G18-G19)/G19*100))</f>
        <v>0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X50"/>
  <sheetViews>
    <sheetView workbookViewId="0" topLeftCell="A1">
      <selection activeCell="B2" sqref="B2:C2"/>
    </sheetView>
  </sheetViews>
  <sheetFormatPr defaultColWidth="9.00390625" defaultRowHeight="13.5"/>
  <cols>
    <col min="1" max="1" width="0.6171875" style="0" customWidth="1"/>
    <col min="2" max="2" width="7.00390625" style="0" customWidth="1"/>
    <col min="3" max="3" width="6.125" style="0" customWidth="1"/>
    <col min="4" max="4" width="7.00390625" style="0" customWidth="1"/>
    <col min="6" max="6" width="7.375" style="0" customWidth="1"/>
    <col min="7" max="7" width="9.125" style="0" customWidth="1"/>
    <col min="8" max="8" width="7.00390625" style="0" customWidth="1"/>
    <col min="9" max="9" width="6.75390625" style="0" customWidth="1"/>
    <col min="10" max="10" width="7.25390625" style="0" customWidth="1"/>
    <col min="11" max="11" width="9.625" style="0" customWidth="1"/>
    <col min="14" max="14" width="8.75390625" style="0" customWidth="1"/>
    <col min="15" max="15" width="7.875" style="0" customWidth="1"/>
    <col min="16" max="16" width="8.125" style="0" customWidth="1"/>
  </cols>
  <sheetData>
    <row r="2" spans="2:12" ht="31.5" customHeight="1">
      <c r="B2" s="99">
        <v>2420</v>
      </c>
      <c r="C2" s="99"/>
      <c r="D2" s="99" t="s">
        <v>57</v>
      </c>
      <c r="E2" s="100"/>
      <c r="F2" s="100"/>
      <c r="G2" s="100"/>
      <c r="H2" s="100"/>
      <c r="I2" s="100"/>
      <c r="J2" s="100"/>
      <c r="K2" s="100"/>
      <c r="L2" s="100"/>
    </row>
    <row r="3" spans="1:15" ht="13.5" customHeight="1">
      <c r="A3" s="1"/>
      <c r="B3" s="71" t="s">
        <v>0</v>
      </c>
      <c r="C3" s="72" t="s">
        <v>1</v>
      </c>
      <c r="D3" s="2"/>
      <c r="E3" s="3"/>
      <c r="F3" s="19" t="s">
        <v>2</v>
      </c>
      <c r="G3" s="67">
        <v>27780</v>
      </c>
      <c r="H3" s="15" t="s">
        <v>332</v>
      </c>
      <c r="I3" s="21" t="s">
        <v>8</v>
      </c>
      <c r="J3" s="58">
        <f>104600/190808</f>
        <v>0.5481950442329462</v>
      </c>
      <c r="K3" s="88" t="s">
        <v>318</v>
      </c>
      <c r="L3" s="3"/>
      <c r="M3" s="3"/>
      <c r="N3" s="3"/>
      <c r="O3" s="3"/>
    </row>
    <row r="4" spans="1:15" ht="13.5" customHeight="1">
      <c r="A4" s="1"/>
      <c r="D4" s="5"/>
      <c r="E4" s="5"/>
      <c r="F4" s="20" t="s">
        <v>47</v>
      </c>
      <c r="G4" s="66">
        <v>1</v>
      </c>
      <c r="H4" s="3"/>
      <c r="I4" s="6" t="s">
        <v>319</v>
      </c>
      <c r="J4" s="3"/>
      <c r="K4" s="3"/>
      <c r="L4" s="3"/>
      <c r="M4" s="3"/>
      <c r="N4" s="3"/>
      <c r="O4" s="3"/>
    </row>
    <row r="5" spans="1:16" ht="13.5" customHeight="1">
      <c r="A5" s="1"/>
      <c r="B5" s="1"/>
      <c r="C5" s="7"/>
      <c r="D5" s="2"/>
      <c r="E5" s="104" t="s">
        <v>3</v>
      </c>
      <c r="F5" s="104"/>
      <c r="G5" s="104"/>
      <c r="H5" s="4"/>
      <c r="I5" s="4"/>
      <c r="J5" s="96" t="s">
        <v>320</v>
      </c>
      <c r="K5" s="97"/>
      <c r="L5" s="97"/>
      <c r="M5" s="97"/>
      <c r="N5" s="97"/>
      <c r="O5" s="97"/>
      <c r="P5" s="98"/>
    </row>
    <row r="6" spans="1:16" ht="13.5" customHeight="1">
      <c r="A6" s="7"/>
      <c r="B6" s="7"/>
      <c r="C6" s="7"/>
      <c r="D6" s="26" t="s">
        <v>4</v>
      </c>
      <c r="E6" s="23" t="s">
        <v>5</v>
      </c>
      <c r="F6" s="27" t="s">
        <v>6</v>
      </c>
      <c r="G6" s="23" t="s">
        <v>7</v>
      </c>
      <c r="H6" s="4"/>
      <c r="I6" s="4"/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2"/>
    </row>
    <row r="7" spans="1:16" ht="13.5" customHeight="1">
      <c r="A7" s="7"/>
      <c r="B7" s="105" t="s">
        <v>105</v>
      </c>
      <c r="C7" s="105" t="s">
        <v>32</v>
      </c>
      <c r="D7" s="78" t="s">
        <v>16</v>
      </c>
      <c r="E7" s="79"/>
      <c r="F7" s="80"/>
      <c r="G7" s="79"/>
      <c r="H7" s="15"/>
      <c r="I7" s="23"/>
      <c r="J7" s="43"/>
      <c r="K7" s="44"/>
      <c r="L7" s="44"/>
      <c r="M7" s="44"/>
      <c r="N7" s="45"/>
      <c r="O7" s="46"/>
      <c r="P7" s="47"/>
    </row>
    <row r="8" spans="1:16" ht="13.5" customHeight="1">
      <c r="A8" s="7"/>
      <c r="B8" s="105"/>
      <c r="C8" s="105"/>
      <c r="D8" s="85" t="s">
        <v>48</v>
      </c>
      <c r="E8" s="86"/>
      <c r="F8" s="87"/>
      <c r="G8" s="86"/>
      <c r="H8" s="15"/>
      <c r="I8" s="23"/>
      <c r="J8" s="43"/>
      <c r="K8" s="44"/>
      <c r="L8" s="44"/>
      <c r="M8" s="44"/>
      <c r="N8" s="45"/>
      <c r="O8" s="46"/>
      <c r="P8" s="47"/>
    </row>
    <row r="9" spans="1:16" ht="13.5" customHeight="1">
      <c r="A9" s="7"/>
      <c r="B9" s="105"/>
      <c r="C9" s="105"/>
      <c r="D9" s="85" t="s">
        <v>17</v>
      </c>
      <c r="E9" s="86"/>
      <c r="F9" s="87"/>
      <c r="G9" s="86"/>
      <c r="H9" s="15"/>
      <c r="I9" s="23"/>
      <c r="J9" s="43"/>
      <c r="K9" s="44"/>
      <c r="L9" s="44"/>
      <c r="M9" s="44"/>
      <c r="N9" s="45"/>
      <c r="O9" s="46"/>
      <c r="P9" s="47"/>
    </row>
    <row r="10" spans="1:16" ht="13.5" customHeight="1">
      <c r="A10" s="7"/>
      <c r="B10" s="105"/>
      <c r="C10" s="105"/>
      <c r="D10" s="81" t="s">
        <v>112</v>
      </c>
      <c r="E10" s="65"/>
      <c r="F10" s="75"/>
      <c r="G10" s="65"/>
      <c r="H10" s="15"/>
      <c r="I10" s="23"/>
      <c r="J10" s="43"/>
      <c r="K10" s="44"/>
      <c r="L10" s="44"/>
      <c r="M10" s="44"/>
      <c r="N10" s="45"/>
      <c r="O10" s="46"/>
      <c r="P10" s="47"/>
    </row>
    <row r="11" spans="1:16" ht="13.5" customHeight="1">
      <c r="A11" s="7"/>
      <c r="B11" s="105"/>
      <c r="C11" s="25" t="s">
        <v>20</v>
      </c>
      <c r="D11" s="81" t="s">
        <v>113</v>
      </c>
      <c r="E11" s="65"/>
      <c r="F11" s="75"/>
      <c r="G11" s="65"/>
      <c r="H11" s="15"/>
      <c r="I11" s="23"/>
      <c r="J11" s="48"/>
      <c r="K11" s="49"/>
      <c r="L11" s="50"/>
      <c r="M11" s="50"/>
      <c r="N11" s="51"/>
      <c r="O11" s="52"/>
      <c r="P11" s="41"/>
    </row>
    <row r="12" spans="1:16" ht="13.5" customHeight="1">
      <c r="A12" s="7"/>
      <c r="B12" s="105"/>
      <c r="C12" s="102" t="s">
        <v>18</v>
      </c>
      <c r="D12" s="78" t="s">
        <v>16</v>
      </c>
      <c r="E12" s="79"/>
      <c r="F12" s="80"/>
      <c r="G12" s="79"/>
      <c r="H12" s="15"/>
      <c r="I12" s="23"/>
      <c r="J12" s="53"/>
      <c r="K12" s="54"/>
      <c r="L12" s="55"/>
      <c r="M12" s="55"/>
      <c r="N12" s="55"/>
      <c r="O12" s="56"/>
      <c r="P12" s="41"/>
    </row>
    <row r="13" spans="1:16" ht="13.5" customHeight="1">
      <c r="A13" s="7"/>
      <c r="B13" s="105"/>
      <c r="C13" s="102"/>
      <c r="D13" s="85" t="s">
        <v>48</v>
      </c>
      <c r="E13" s="86"/>
      <c r="F13" s="87"/>
      <c r="G13" s="86"/>
      <c r="H13" s="15"/>
      <c r="I13" s="23"/>
      <c r="J13" s="53"/>
      <c r="K13" s="54"/>
      <c r="L13" s="55"/>
      <c r="M13" s="55"/>
      <c r="N13" s="55"/>
      <c r="O13" s="56"/>
      <c r="P13" s="41"/>
    </row>
    <row r="14" spans="1:16" ht="13.5" customHeight="1">
      <c r="A14" s="7"/>
      <c r="B14" s="105"/>
      <c r="C14" s="102"/>
      <c r="D14" s="85" t="s">
        <v>17</v>
      </c>
      <c r="E14" s="86"/>
      <c r="F14" s="87"/>
      <c r="G14" s="86"/>
      <c r="H14" s="15"/>
      <c r="I14" s="24"/>
      <c r="J14" s="57"/>
      <c r="K14" s="54"/>
      <c r="L14" s="55"/>
      <c r="M14" s="55"/>
      <c r="N14" s="55"/>
      <c r="O14" s="56"/>
      <c r="P14" s="41"/>
    </row>
    <row r="15" spans="1:16" ht="13.5" customHeight="1">
      <c r="A15" s="7"/>
      <c r="B15" s="105"/>
      <c r="C15" s="103"/>
      <c r="D15" s="81" t="s">
        <v>114</v>
      </c>
      <c r="E15" s="65"/>
      <c r="F15" s="75"/>
      <c r="G15" s="65"/>
      <c r="H15" s="15"/>
      <c r="I15" s="24"/>
      <c r="J15" s="57"/>
      <c r="K15" s="54"/>
      <c r="L15" s="55"/>
      <c r="M15" s="55"/>
      <c r="N15" s="55"/>
      <c r="O15" s="56"/>
      <c r="P15" s="41"/>
    </row>
    <row r="16" spans="1:16" ht="13.5" customHeight="1">
      <c r="A16" s="7"/>
      <c r="B16" s="105"/>
      <c r="C16" s="25" t="s">
        <v>21</v>
      </c>
      <c r="D16" s="81" t="s">
        <v>115</v>
      </c>
      <c r="E16" s="65"/>
      <c r="F16" s="75"/>
      <c r="G16" s="65"/>
      <c r="H16" s="15"/>
      <c r="I16" s="23"/>
      <c r="J16" s="57"/>
      <c r="K16" s="54"/>
      <c r="L16" s="55"/>
      <c r="M16" s="55"/>
      <c r="N16" s="55"/>
      <c r="O16" s="56"/>
      <c r="P16" s="41"/>
    </row>
    <row r="17" spans="1:16" ht="13.5" customHeight="1">
      <c r="A17" s="7"/>
      <c r="B17" s="105" t="s">
        <v>116</v>
      </c>
      <c r="C17" s="105" t="s">
        <v>32</v>
      </c>
      <c r="D17" s="78" t="s">
        <v>16</v>
      </c>
      <c r="E17" s="79"/>
      <c r="F17" s="80"/>
      <c r="G17" s="79"/>
      <c r="H17" s="15"/>
      <c r="I17" s="23"/>
      <c r="J17" s="58"/>
      <c r="K17" s="59"/>
      <c r="L17" s="41"/>
      <c r="M17" s="41"/>
      <c r="N17" s="41"/>
      <c r="O17" s="60"/>
      <c r="P17" s="41"/>
    </row>
    <row r="18" spans="1:16" ht="13.5" customHeight="1">
      <c r="A18" s="7"/>
      <c r="B18" s="105"/>
      <c r="C18" s="105"/>
      <c r="D18" s="85" t="s">
        <v>48</v>
      </c>
      <c r="E18" s="86">
        <v>18543</v>
      </c>
      <c r="F18" s="87">
        <v>3014</v>
      </c>
      <c r="G18" s="86">
        <v>1406</v>
      </c>
      <c r="H18" s="15" t="s">
        <v>339</v>
      </c>
      <c r="I18" s="25"/>
      <c r="J18" s="58"/>
      <c r="K18" s="59"/>
      <c r="L18" s="41"/>
      <c r="M18" s="41"/>
      <c r="N18" s="41"/>
      <c r="O18" s="60"/>
      <c r="P18" s="41"/>
    </row>
    <row r="19" spans="1:16" ht="13.5" customHeight="1">
      <c r="A19" s="7"/>
      <c r="B19" s="105"/>
      <c r="C19" s="105"/>
      <c r="D19" s="85" t="s">
        <v>17</v>
      </c>
      <c r="E19" s="86">
        <v>20159</v>
      </c>
      <c r="F19" s="87">
        <v>4711</v>
      </c>
      <c r="G19" s="86">
        <v>2301</v>
      </c>
      <c r="H19" s="15"/>
      <c r="I19" s="23"/>
      <c r="J19" s="61"/>
      <c r="K19" s="61"/>
      <c r="L19" s="61"/>
      <c r="M19" s="61"/>
      <c r="N19" s="61"/>
      <c r="O19" s="62"/>
      <c r="P19" s="61"/>
    </row>
    <row r="20" spans="1:16" ht="13.5" customHeight="1">
      <c r="A20" s="7"/>
      <c r="B20" s="105"/>
      <c r="C20" s="105"/>
      <c r="D20" s="81" t="s">
        <v>117</v>
      </c>
      <c r="E20" s="82"/>
      <c r="F20" s="83"/>
      <c r="G20" s="66"/>
      <c r="H20" s="15"/>
      <c r="I20" s="25" t="s">
        <v>14</v>
      </c>
      <c r="J20" s="58">
        <v>0.55</v>
      </c>
      <c r="K20" s="59">
        <v>66.5</v>
      </c>
      <c r="L20" s="41">
        <v>7708</v>
      </c>
      <c r="M20" s="41">
        <v>2371</v>
      </c>
      <c r="N20" s="41"/>
      <c r="O20" s="60">
        <v>1850</v>
      </c>
      <c r="P20" s="41"/>
    </row>
    <row r="21" spans="1:16" ht="13.5" customHeight="1">
      <c r="A21" s="7"/>
      <c r="B21" s="105"/>
      <c r="C21" s="25" t="s">
        <v>20</v>
      </c>
      <c r="D21" s="81" t="s">
        <v>118</v>
      </c>
      <c r="E21" s="82"/>
      <c r="F21" s="83"/>
      <c r="G21" s="66"/>
      <c r="H21" s="15"/>
      <c r="I21" s="23" t="s">
        <v>19</v>
      </c>
      <c r="J21" s="58">
        <v>0.536643</v>
      </c>
      <c r="K21" s="59">
        <v>85.6</v>
      </c>
      <c r="L21" s="41">
        <v>7040</v>
      </c>
      <c r="M21" s="41">
        <v>491</v>
      </c>
      <c r="N21" s="41">
        <v>176</v>
      </c>
      <c r="O21" s="60">
        <v>1850</v>
      </c>
      <c r="P21" s="41"/>
    </row>
    <row r="22" spans="1:16" ht="13.5" customHeight="1">
      <c r="A22" s="7"/>
      <c r="B22" s="105"/>
      <c r="C22" s="102" t="s">
        <v>18</v>
      </c>
      <c r="D22" s="78" t="s">
        <v>16</v>
      </c>
      <c r="E22" s="79"/>
      <c r="F22" s="80"/>
      <c r="G22" s="79"/>
      <c r="H22" s="15"/>
      <c r="I22" s="25" t="s">
        <v>22</v>
      </c>
      <c r="J22" s="63">
        <v>0.522793</v>
      </c>
      <c r="K22" s="64">
        <v>71.8</v>
      </c>
      <c r="L22" s="41">
        <v>7078</v>
      </c>
      <c r="M22" s="41">
        <v>1656</v>
      </c>
      <c r="N22" s="41">
        <v>329</v>
      </c>
      <c r="O22" s="64">
        <v>2950</v>
      </c>
      <c r="P22" s="41"/>
    </row>
    <row r="23" spans="1:8" ht="13.5" customHeight="1">
      <c r="A23" s="7"/>
      <c r="B23" s="105"/>
      <c r="C23" s="102"/>
      <c r="D23" s="85" t="s">
        <v>48</v>
      </c>
      <c r="E23" s="86"/>
      <c r="F23" s="87"/>
      <c r="G23" s="86"/>
      <c r="H23" s="15"/>
    </row>
    <row r="24" spans="1:8" ht="13.5" customHeight="1">
      <c r="A24" s="7"/>
      <c r="B24" s="105"/>
      <c r="C24" s="102"/>
      <c r="D24" s="85" t="s">
        <v>17</v>
      </c>
      <c r="E24" s="86">
        <v>11154</v>
      </c>
      <c r="F24" s="87">
        <v>2887</v>
      </c>
      <c r="G24" s="86">
        <v>1272</v>
      </c>
      <c r="H24" s="15"/>
    </row>
    <row r="25" spans="1:13" ht="13.5" customHeight="1">
      <c r="A25" s="7"/>
      <c r="B25" s="105"/>
      <c r="C25" s="103"/>
      <c r="D25" s="81" t="s">
        <v>119</v>
      </c>
      <c r="E25" s="82">
        <v>10689</v>
      </c>
      <c r="F25" s="83">
        <v>2134</v>
      </c>
      <c r="G25" s="66">
        <v>1046</v>
      </c>
      <c r="H25" s="15"/>
      <c r="K25" s="105" t="s">
        <v>99</v>
      </c>
      <c r="L25" s="105"/>
      <c r="M25" s="105"/>
    </row>
    <row r="26" spans="1:13" ht="13.5" customHeight="1">
      <c r="A26" s="7"/>
      <c r="B26" s="105"/>
      <c r="C26" s="25" t="s">
        <v>21</v>
      </c>
      <c r="D26" s="81" t="s">
        <v>120</v>
      </c>
      <c r="E26" s="82">
        <v>5791</v>
      </c>
      <c r="F26" s="83">
        <v>769</v>
      </c>
      <c r="G26" s="66">
        <v>243</v>
      </c>
      <c r="H26" s="15"/>
      <c r="K26" s="23" t="s">
        <v>5</v>
      </c>
      <c r="L26" s="27" t="s">
        <v>6</v>
      </c>
      <c r="M26" s="23" t="s">
        <v>7</v>
      </c>
    </row>
    <row r="27" spans="1:13" ht="13.5" customHeight="1">
      <c r="A27" s="7"/>
      <c r="B27" s="101" t="s">
        <v>14</v>
      </c>
      <c r="C27" s="25" t="s">
        <v>15</v>
      </c>
      <c r="D27" s="84" t="s">
        <v>121</v>
      </c>
      <c r="E27" s="65">
        <v>19422</v>
      </c>
      <c r="F27" s="65">
        <v>4897</v>
      </c>
      <c r="G27" s="65">
        <v>2792</v>
      </c>
      <c r="H27" s="15"/>
      <c r="I27" s="105" t="s">
        <v>100</v>
      </c>
      <c r="J27" s="105"/>
      <c r="K27" s="41">
        <f>IF(OR(E38&lt;=0,E35&lt;=0,E26&lt;=0),IF(OR(E34&lt;=0,E31&lt;=0),IF(OR(E30&lt;=0,E27&lt;=0),0,E27/E30*E26),(E31/E34+E27/E30)/2*E26),(E35/E38+E31/E34+E27/E30)/3*E26)</f>
        <v>24287.49141577125</v>
      </c>
      <c r="L27" s="41">
        <f>IF(OR(F38&lt;=0,F35&lt;=0,F26&lt;=0),IF(OR(F34&lt;=0,F31&lt;=0),IF(OR(F30&lt;=0,F27&lt;=0),0,F27/F30*F26),(F31/F34+F27/F30)/2*F26),(F35/F38+F31/F34+F27/F30)/3*F26)</f>
        <v>4185.38755326521</v>
      </c>
      <c r="M27" s="41">
        <f>IF(OR(G38&lt;=0,G35&lt;=0,G26&lt;=0),IF(OR(G34&lt;=0,G31&lt;=0),IF(OR(G30&lt;=0,G27&lt;=0),0,G27/G30*G26),(G31/G34+G27/G30)/2*G26),(G35/G38+G31/G34+G27/G30)/3*G26)</f>
        <v>1279.081952962078</v>
      </c>
    </row>
    <row r="28" spans="1:13" ht="13.5" customHeight="1">
      <c r="A28" s="7"/>
      <c r="B28" s="102"/>
      <c r="C28" s="25" t="s">
        <v>20</v>
      </c>
      <c r="D28" s="84" t="s">
        <v>122</v>
      </c>
      <c r="E28" s="65">
        <v>15109</v>
      </c>
      <c r="F28" s="65">
        <v>4355</v>
      </c>
      <c r="G28" s="65">
        <v>2365</v>
      </c>
      <c r="H28" s="15"/>
      <c r="I28" s="105" t="s">
        <v>101</v>
      </c>
      <c r="J28" s="105"/>
      <c r="K28" s="41">
        <f>IF(OR(E37&lt;=0,E35&lt;=0,E25&lt;=0),IF(OR(E33&lt;=0,E31&lt;=0),IF(OR(E29&lt;=0,E27&lt;=0),0,E27/E29*E25),(E31/E33+E27/E29)/2*E25),(E35/E37+E31/E33+E27/E29)/3*E25)</f>
        <v>19870.275421703845</v>
      </c>
      <c r="L28" s="41">
        <f>IF(OR(F37&lt;=0,F35&lt;=0,F25&lt;=0),IF(OR(F33&lt;=0,F31&lt;=0),IF(OR(F29&lt;=0,F27&lt;=0),0,F27/F29*F25),(F31/F33+F27/F29)/2*F25),(F35/F37+F31/F33+F27/F29)/3*F25)</f>
        <v>3504.069982884877</v>
      </c>
      <c r="M28" s="41">
        <f>IF(OR(G37&lt;=0,G35&lt;=0,G25&lt;=0),IF(OR(G33&lt;=0,G31&lt;=0),IF(OR(G29&lt;=0,G27&lt;=0),0,G27/G29*G25),(G31/G33+G27/G29)/2*G25),(G35/G37+G31/G33+G27/G29)/3*G25)</f>
        <v>1599.6540983195086</v>
      </c>
    </row>
    <row r="29" spans="1:13" ht="13.5" customHeight="1">
      <c r="A29" s="8"/>
      <c r="B29" s="102"/>
      <c r="C29" s="25" t="s">
        <v>18</v>
      </c>
      <c r="D29" s="81" t="s">
        <v>276</v>
      </c>
      <c r="E29" s="65">
        <v>11050</v>
      </c>
      <c r="F29" s="65">
        <v>3205</v>
      </c>
      <c r="G29" s="65">
        <v>1860</v>
      </c>
      <c r="H29" s="15"/>
      <c r="I29" s="105" t="s">
        <v>102</v>
      </c>
      <c r="J29" s="105"/>
      <c r="K29" s="41">
        <f>IF(OR(E36&lt;=0,E35&lt;=0,E21&lt;=0),IF(OR(E32&lt;=0,E31&lt;=0),IF(OR(E28&lt;=0,E27&lt;=0),0,E27/E28*E21),(E31/E32+E27/E28)/2*E21),(E35/E36+E31/E32+E27/E28)/3*E21)</f>
        <v>0</v>
      </c>
      <c r="L29" s="41">
        <f>IF(OR(F36&lt;=0,F35&lt;=0,F21&lt;=0),IF(OR(F32&lt;=0,F31&lt;=0),IF(OR(F28&lt;=0,F27&lt;=0),0,F27/F28*F21),(F31/F32+F27/F28)/2*F21),(F35/F36+F31/F32+F27/F28)/3*F21)</f>
        <v>0</v>
      </c>
      <c r="M29" s="41">
        <f>IF(OR(G36&lt;=0,G35&lt;=0,G21&lt;=0),IF(OR(G32&lt;=0,G31&lt;=0),IF(OR(G28&lt;=0,G27&lt;=0),0,G27/G28*G21),(G31/G32+G27/G28)/2*G21),(G35/G36+G31/G32+G27/G28)/3*G21)</f>
        <v>0</v>
      </c>
    </row>
    <row r="30" spans="1:13" ht="13.5" customHeight="1">
      <c r="A30" s="9"/>
      <c r="B30" s="103"/>
      <c r="C30" s="25" t="s">
        <v>21</v>
      </c>
      <c r="D30" s="81" t="s">
        <v>277</v>
      </c>
      <c r="E30" s="65">
        <v>5851</v>
      </c>
      <c r="F30" s="65">
        <v>1415</v>
      </c>
      <c r="G30" s="65">
        <v>812</v>
      </c>
      <c r="H30" s="15"/>
      <c r="I30" s="105" t="s">
        <v>103</v>
      </c>
      <c r="J30" s="105"/>
      <c r="K30" s="41">
        <f>IF(E18=0,E19,E18)</f>
        <v>18543</v>
      </c>
      <c r="L30" s="41">
        <f>IF(F18=0,F19,F18)</f>
        <v>3014</v>
      </c>
      <c r="M30" s="41">
        <f>IF(G18=0,G19,G18)</f>
        <v>1406</v>
      </c>
    </row>
    <row r="31" spans="1:8" ht="13.5" customHeight="1">
      <c r="A31" s="9"/>
      <c r="B31" s="101" t="s">
        <v>19</v>
      </c>
      <c r="C31" s="25" t="s">
        <v>15</v>
      </c>
      <c r="D31" s="84" t="s">
        <v>134</v>
      </c>
      <c r="E31" s="65">
        <v>16435</v>
      </c>
      <c r="F31" s="65">
        <v>4699</v>
      </c>
      <c r="G31" s="65">
        <v>2752</v>
      </c>
      <c r="H31" s="15"/>
    </row>
    <row r="32" spans="1:16" ht="13.5" customHeight="1">
      <c r="A32" s="9"/>
      <c r="B32" s="102"/>
      <c r="C32" s="25" t="s">
        <v>20</v>
      </c>
      <c r="D32" s="84" t="s">
        <v>135</v>
      </c>
      <c r="E32" s="65">
        <v>12097</v>
      </c>
      <c r="F32" s="65">
        <v>3723</v>
      </c>
      <c r="G32" s="65">
        <v>2097</v>
      </c>
      <c r="H32" s="15"/>
      <c r="I32" s="89"/>
      <c r="J32" s="89"/>
      <c r="K32" s="89"/>
      <c r="L32" s="89"/>
      <c r="M32" s="89"/>
      <c r="N32" s="89"/>
      <c r="O32" s="89"/>
      <c r="P32" s="89"/>
    </row>
    <row r="33" spans="1:16" ht="13.5" customHeight="1">
      <c r="A33" s="10"/>
      <c r="B33" s="102"/>
      <c r="C33" s="25" t="s">
        <v>18</v>
      </c>
      <c r="D33" s="81" t="s">
        <v>278</v>
      </c>
      <c r="E33" s="65">
        <v>8523</v>
      </c>
      <c r="F33" s="65">
        <v>2665</v>
      </c>
      <c r="G33" s="65">
        <v>1606</v>
      </c>
      <c r="H33" s="15"/>
      <c r="I33" s="90"/>
      <c r="J33" s="106"/>
      <c r="K33" s="107"/>
      <c r="L33" s="107"/>
      <c r="M33" s="107"/>
      <c r="N33" s="107"/>
      <c r="O33" s="107"/>
      <c r="P33" s="107"/>
    </row>
    <row r="34" spans="1:16" ht="13.5" customHeight="1">
      <c r="A34" s="10"/>
      <c r="B34" s="103"/>
      <c r="C34" s="25" t="s">
        <v>21</v>
      </c>
      <c r="D34" s="84" t="s">
        <v>279</v>
      </c>
      <c r="E34" s="65">
        <v>3545</v>
      </c>
      <c r="F34" s="65">
        <v>677</v>
      </c>
      <c r="G34" s="65">
        <v>357</v>
      </c>
      <c r="H34" s="15"/>
      <c r="I34" s="89"/>
      <c r="J34" s="107"/>
      <c r="K34" s="108"/>
      <c r="L34" s="107"/>
      <c r="M34" s="108"/>
      <c r="N34" s="107"/>
      <c r="O34" s="108"/>
      <c r="P34" s="107"/>
    </row>
    <row r="35" spans="1:16" ht="13.5" customHeight="1">
      <c r="A35" s="1"/>
      <c r="B35" s="101" t="s">
        <v>22</v>
      </c>
      <c r="C35" s="25" t="s">
        <v>15</v>
      </c>
      <c r="D35" s="81" t="s">
        <v>23</v>
      </c>
      <c r="E35" s="65">
        <v>10553</v>
      </c>
      <c r="F35" s="65">
        <v>3775</v>
      </c>
      <c r="G35" s="65">
        <v>1983</v>
      </c>
      <c r="H35" s="15"/>
      <c r="I35" s="89"/>
      <c r="J35" s="91"/>
      <c r="K35" s="91"/>
      <c r="L35" s="91"/>
      <c r="M35" s="91"/>
      <c r="N35" s="91"/>
      <c r="O35" s="91"/>
      <c r="P35" s="107"/>
    </row>
    <row r="36" spans="1:16" ht="13.5" customHeight="1">
      <c r="A36" s="1"/>
      <c r="B36" s="102"/>
      <c r="C36" s="25" t="s">
        <v>20</v>
      </c>
      <c r="D36" s="81" t="s">
        <v>129</v>
      </c>
      <c r="E36" s="65">
        <v>7824</v>
      </c>
      <c r="F36" s="65">
        <v>3137</v>
      </c>
      <c r="G36" s="65">
        <v>1830</v>
      </c>
      <c r="H36" s="15"/>
      <c r="I36" s="92"/>
      <c r="J36" s="92"/>
      <c r="K36" s="93"/>
      <c r="L36" s="92"/>
      <c r="M36" s="93"/>
      <c r="N36" s="92"/>
      <c r="O36" s="94"/>
      <c r="P36" s="95"/>
    </row>
    <row r="37" spans="1:16" ht="13.5" customHeight="1">
      <c r="A37" s="1"/>
      <c r="B37" s="102"/>
      <c r="C37" s="25" t="s">
        <v>18</v>
      </c>
      <c r="D37" s="81" t="s">
        <v>46</v>
      </c>
      <c r="E37" s="65">
        <v>5581</v>
      </c>
      <c r="F37" s="65">
        <v>2309</v>
      </c>
      <c r="G37" s="65">
        <v>1444</v>
      </c>
      <c r="H37" s="15"/>
      <c r="I37" s="92"/>
      <c r="J37" s="92"/>
      <c r="K37" s="93"/>
      <c r="L37" s="92"/>
      <c r="M37" s="93"/>
      <c r="N37" s="92"/>
      <c r="O37" s="94"/>
      <c r="P37" s="95"/>
    </row>
    <row r="38" spans="1:16" ht="13.5" customHeight="1">
      <c r="A38" s="1"/>
      <c r="B38" s="103"/>
      <c r="C38" s="25" t="s">
        <v>21</v>
      </c>
      <c r="D38" s="81" t="s">
        <v>45</v>
      </c>
      <c r="E38" s="65">
        <v>2281</v>
      </c>
      <c r="F38" s="65">
        <v>637</v>
      </c>
      <c r="G38" s="65">
        <v>427</v>
      </c>
      <c r="H38" s="15"/>
      <c r="I38" s="92"/>
      <c r="J38" s="92"/>
      <c r="K38" s="93"/>
      <c r="L38" s="92"/>
      <c r="M38" s="93"/>
      <c r="N38" s="92"/>
      <c r="O38" s="94"/>
      <c r="P38" s="95"/>
    </row>
    <row r="39" ht="13.5" customHeight="1"/>
    <row r="40" spans="2:16" ht="13.5" customHeight="1">
      <c r="B40" s="30" t="s">
        <v>24</v>
      </c>
      <c r="C40" s="28" t="s">
        <v>106</v>
      </c>
      <c r="D40" s="31" t="s">
        <v>50</v>
      </c>
      <c r="E40" s="31" t="s">
        <v>51</v>
      </c>
      <c r="F40" s="32" t="s">
        <v>54</v>
      </c>
      <c r="G40" s="32" t="s">
        <v>97</v>
      </c>
      <c r="H40" s="32" t="s">
        <v>53</v>
      </c>
      <c r="I40" s="25" t="s">
        <v>104</v>
      </c>
      <c r="J40" s="33" t="s">
        <v>52</v>
      </c>
      <c r="K40" s="33" t="s">
        <v>110</v>
      </c>
      <c r="L40" s="33" t="s">
        <v>25</v>
      </c>
      <c r="M40" s="31" t="s">
        <v>107</v>
      </c>
      <c r="N40" s="31" t="s">
        <v>26</v>
      </c>
      <c r="O40" s="31" t="s">
        <v>27</v>
      </c>
      <c r="P40" s="34" t="s">
        <v>49</v>
      </c>
    </row>
    <row r="41" spans="2:16" ht="13.5" customHeight="1">
      <c r="B41" s="38">
        <f>SUM(C41:O41)</f>
        <v>170.15061532526173</v>
      </c>
      <c r="C41" s="39">
        <f>IF(B43&lt;=0,-100,IF((30-B43)*5&lt;-100,-100,(30-B43)*5))</f>
        <v>95.66500711237552</v>
      </c>
      <c r="D41" s="39">
        <f>IF(D42+D43+D44&lt;-20,-20,IF((D42+D43+D44)&gt;20,20,D42+D43+D44))</f>
        <v>-20</v>
      </c>
      <c r="E41" s="39">
        <f>IF(E42+E43+E44&lt;-100,-100,IF(E42+E43+E44&gt;50,50,E42+E43+E44))</f>
        <v>-46.30987141972027</v>
      </c>
      <c r="F41" s="39">
        <f>IF((F42+F43+F44)/2&lt;-20,-20,IF((F42+F43+F44)/2&gt;20,20,(F42+F43+F44)/2))</f>
        <v>0</v>
      </c>
      <c r="G41" s="39">
        <f>IF(G42+G43+G44&gt;50,50,IF(G42+G43+G44&lt;-100,-100,G42+G43+G44))</f>
        <v>0</v>
      </c>
      <c r="H41" s="39">
        <f>IF(G41&lt;&gt;0,0,IF(H42+H43+H44&gt;50,50,IF(H42+H43+H44&lt;-100,-100,H42+H43+H44)))</f>
        <v>-82.93447875717507</v>
      </c>
      <c r="I41" s="39">
        <f>IF(L27=0,0,IF((L27-L30)/L30*100&lt;-30,-30,IF((L27-L30)/L30*100&gt;30,30,(L27-L30)/L30*100)))</f>
        <v>30</v>
      </c>
      <c r="J41" s="39">
        <f>IF(J42+J43+J44&gt;20,20,IF(J42+J43+J44&lt;-50,-50,J42+J43+J44))</f>
        <v>0</v>
      </c>
      <c r="K41" s="39">
        <f>POWER(LOG(J3*G3/1000),4)</f>
        <v>1.9563674318311437</v>
      </c>
      <c r="L41" s="39">
        <f>IF(N20/E27*100&gt;30,30,N20/E27*100)</f>
        <v>0</v>
      </c>
      <c r="M41" s="39">
        <f>IF((L20-M20)*50/E27&lt;-50,-50,IF((L20-M20)*50/E27&gt;30,30,(L20-M20)*50/E27))</f>
        <v>13.739573679332716</v>
      </c>
      <c r="N41" s="39">
        <f>(K20-50)/2</f>
        <v>8.25</v>
      </c>
      <c r="O41" s="39">
        <f>IF(O20=0,-30,((O20/G3)*100-1)*30)</f>
        <v>169.78401727861768</v>
      </c>
      <c r="P41" s="76">
        <f>G3*G4/1000</f>
        <v>27.78</v>
      </c>
    </row>
    <row r="42" spans="2:14" ht="13.5" customHeight="1">
      <c r="B42" s="29" t="s">
        <v>326</v>
      </c>
      <c r="C42" s="12"/>
      <c r="D42" s="39">
        <f>IF(OR(E26=0,E30=0),0,(E26-E30)/E30*100)</f>
        <v>-1.025465732353444</v>
      </c>
      <c r="E42" s="39">
        <f>IF(E18=0,(E19-E27)/E27*50,(E18-E27)/E27*50)</f>
        <v>-2.2628977448254557</v>
      </c>
      <c r="F42" s="39">
        <f>IF(OR(E17=0,E19=0),0,(E17-E19)/E19*100)</f>
        <v>0</v>
      </c>
      <c r="G42" s="39">
        <f>IF(OR(E23=0,E24=0),0,(E23-E24)/E24*100)</f>
        <v>0</v>
      </c>
      <c r="H42" s="39">
        <f>IF(OR(E18=0,E19=0),0,(E18-E19)/E19*100)</f>
        <v>-8.016270648345653</v>
      </c>
      <c r="J42" s="39">
        <f>IF(OR(E7=0,E17=0),0,(E7-E17)/E17*100)</f>
        <v>0</v>
      </c>
      <c r="K42" s="11"/>
      <c r="L42" s="11"/>
      <c r="M42" s="11"/>
      <c r="N42" s="11"/>
    </row>
    <row r="43" spans="2:14" ht="13.5" customHeight="1">
      <c r="B43" s="42">
        <f>IF(G18=0,IF(G19&lt;=0,0,G3*J20/G19),IF(G18&lt;=0,0,G3*J20/G18))</f>
        <v>10.866998577524894</v>
      </c>
      <c r="C43" s="12"/>
      <c r="D43" s="39">
        <f>IF(OR(F26=0,F30=0),0,IF(F30&lt;0,(F26-F30)/(-F30)*50,(F26-F30)/(F30)*50))</f>
        <v>-22.82685512367491</v>
      </c>
      <c r="E43" s="39">
        <f>IF(F18=0,(F19-F27)/F27*50,(F18-F27)/F27*50)</f>
        <v>-19.226056769450683</v>
      </c>
      <c r="F43" s="40">
        <f>IF(OR(F17=0,F19=0),0,IF(F19=0,0,IF(F19&lt;0,(F17-F19)/(-F19)*100,(F17-F19)/(F19)*100)))</f>
        <v>0</v>
      </c>
      <c r="G43" s="39">
        <f>IF(OR(F23=0,F24=0),0,IF(F24&lt;0,(F23-F24)/(-F24)*100,(F23-F24)/(F24)*100))</f>
        <v>0</v>
      </c>
      <c r="H43" s="39">
        <f>IF(OR(F18=0,F19=0),0,IF(F19&lt;0,(F18-F19)/(-F19)*100,(F18-F19)/F19*100))</f>
        <v>-36.02207599235831</v>
      </c>
      <c r="J43" s="39">
        <f>IF(OR(F7=0,F17=0),0,(F7-F17)/F17*100)</f>
        <v>0</v>
      </c>
      <c r="K43" s="11"/>
      <c r="L43" s="11"/>
      <c r="M43" s="11"/>
      <c r="N43" s="11"/>
    </row>
    <row r="44" spans="2:14" ht="13.5" customHeight="1">
      <c r="B44" s="11"/>
      <c r="C44" s="12"/>
      <c r="D44" s="39">
        <f>IF(OR(G26=0,G30=0),0,IF(G30&lt;0,(G26-G30)/(-G30)*100,(G26-G30)/(G30)*100))</f>
        <v>-70.07389162561576</v>
      </c>
      <c r="E44" s="39">
        <f>IF(G18=0,(G19-G27)/G27*50,(G18-G27)/G27*50)</f>
        <v>-24.820916905444125</v>
      </c>
      <c r="F44" s="40">
        <f>IF(OR(G17=0,G19=0),0,IF(G19=0,0,IF(G19&lt;0,(G17-G19)/(-G19)*100,(G17-G19)/(G19)*100)))</f>
        <v>0</v>
      </c>
      <c r="G44" s="39">
        <f>IF(OR(G23=0,G24=0),0,IF(G24&lt;0,(G23-G24)/(-G24)*100,(G23-G24)/G24*100))</f>
        <v>0</v>
      </c>
      <c r="H44" s="39">
        <f>IF(OR(G18=0,G19=0),0,IF(G19&lt;0,(G18-G19)/(-G19)*100,(G18-G19)/G19*100))</f>
        <v>-38.8961321164711</v>
      </c>
      <c r="J44" s="39">
        <f>IF(OR(G7=0,G17=0),0,(G7-G17)/G17*100)</f>
        <v>0</v>
      </c>
      <c r="K44" s="11"/>
      <c r="L44" s="11"/>
      <c r="M44" s="11"/>
      <c r="N44" s="11"/>
    </row>
    <row r="45" spans="2:14" ht="13.5" customHeight="1">
      <c r="B45" s="11"/>
      <c r="H45" s="11"/>
      <c r="J45" s="11"/>
      <c r="K45" s="11"/>
      <c r="L45" s="11"/>
      <c r="M45" s="11"/>
      <c r="N45" s="12"/>
    </row>
    <row r="46" spans="21:24" ht="13.5" customHeight="1">
      <c r="U46" s="73"/>
      <c r="V46" s="73"/>
      <c r="W46" s="74"/>
      <c r="X46" s="73"/>
    </row>
    <row r="47" spans="21:24" ht="13.5" customHeight="1">
      <c r="U47" s="73"/>
      <c r="V47" s="73"/>
      <c r="W47" s="74"/>
      <c r="X47" s="73"/>
    </row>
    <row r="48" spans="12:24" ht="13.5" customHeight="1">
      <c r="L48" s="77"/>
      <c r="R48" s="11"/>
      <c r="S48" s="11"/>
      <c r="T48" s="12"/>
      <c r="U48" s="73"/>
      <c r="V48" s="73"/>
      <c r="W48" s="74"/>
      <c r="X48" s="73"/>
    </row>
    <row r="49" spans="12:20" ht="13.5">
      <c r="L49" s="77"/>
      <c r="R49" s="11"/>
      <c r="S49" s="11"/>
      <c r="T49" s="12"/>
    </row>
    <row r="50" spans="12:20" ht="13.5">
      <c r="L50" s="77"/>
      <c r="R50" s="11"/>
      <c r="S50" s="11"/>
      <c r="T50" s="12"/>
    </row>
  </sheetData>
  <mergeCells count="23">
    <mergeCell ref="J33:P33"/>
    <mergeCell ref="J34:K34"/>
    <mergeCell ref="L34:M34"/>
    <mergeCell ref="N34:O34"/>
    <mergeCell ref="P34:P35"/>
    <mergeCell ref="I30:J30"/>
    <mergeCell ref="I27:J27"/>
    <mergeCell ref="I28:J28"/>
    <mergeCell ref="I29:J29"/>
    <mergeCell ref="B35:B38"/>
    <mergeCell ref="E5:G5"/>
    <mergeCell ref="B7:B16"/>
    <mergeCell ref="B31:B34"/>
    <mergeCell ref="B27:B30"/>
    <mergeCell ref="C17:C20"/>
    <mergeCell ref="B17:B26"/>
    <mergeCell ref="C7:C10"/>
    <mergeCell ref="C12:C15"/>
    <mergeCell ref="J5:P5"/>
    <mergeCell ref="B2:C2"/>
    <mergeCell ref="D2:L2"/>
    <mergeCell ref="C22:C25"/>
    <mergeCell ref="K25:M2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猪谷久志</dc:creator>
  <cp:keywords/>
  <dc:description/>
  <cp:lastModifiedBy>猪谷　久志</cp:lastModifiedBy>
  <dcterms:created xsi:type="dcterms:W3CDTF">2006-05-31T05:03:13Z</dcterms:created>
  <dcterms:modified xsi:type="dcterms:W3CDTF">2008-06-28T08:36:29Z</dcterms:modified>
  <cp:category/>
  <cp:version/>
  <cp:contentType/>
  <cp:contentStatus/>
</cp:coreProperties>
</file>